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95" yWindow="2085" windowWidth="27795" windowHeight="12585"/>
  </bookViews>
  <sheets>
    <sheet name="Факт ПС за 3 года" sheetId="1" r:id="rId1"/>
    <sheet name="Факт ТП за 3 года" sheetId="6" r:id="rId2"/>
    <sheet name="1_до 15 кВт" sheetId="4" r:id="rId3"/>
    <sheet name="2_рассрочка" sheetId="8" r:id="rId4"/>
    <sheet name="3_до 150 кВт" sheetId="7" r:id="rId5"/>
    <sheet name="Реестр договоров ТП 2015-2017" sheetId="10" r:id="rId6"/>
    <sheet name="Реестр заявок на 2019" sheetId="11" r:id="rId7"/>
  </sheets>
  <definedNames>
    <definedName name="_xlnm._FilterDatabase" localSheetId="5" hidden="1">'Реестр договоров ТП 2015-2017'!$A$7:$R$30</definedName>
    <definedName name="_xlnm._FilterDatabase" localSheetId="6" hidden="1">'Реестр заявок на 2019'!$A$7:$G$22</definedName>
    <definedName name="_xlnm.Print_Area" localSheetId="2">'1_до 15 кВт'!$B$3:$L$98</definedName>
    <definedName name="_xlnm.Print_Area" localSheetId="3">'2_рассрочка'!$B$2:$U$44</definedName>
    <definedName name="_xlnm.Print_Area" localSheetId="4">'3_до 150 кВт'!$B$3:$R$167</definedName>
    <definedName name="_xlnm.Print_Area" localSheetId="5">'Реестр договоров ТП 2015-2017'!$B$2:$R$56</definedName>
    <definedName name="_xlnm.Print_Area" localSheetId="6">'Реестр заявок на 2019'!$B$2:$O$26</definedName>
    <definedName name="_xlnm.Print_Area" localSheetId="0">'Факт ПС за 3 года'!$B$2:$R$76</definedName>
    <definedName name="_xlnm.Print_Area" localSheetId="1">'Факт ТП за 3 года'!$B$2:$M$164</definedName>
  </definedNames>
  <calcPr calcId="145621"/>
</workbook>
</file>

<file path=xl/calcChain.xml><?xml version="1.0" encoding="utf-8"?>
<calcChain xmlns="http://schemas.openxmlformats.org/spreadsheetml/2006/main">
  <c r="R163" i="7" l="1"/>
  <c r="F163" i="7"/>
  <c r="I152" i="7"/>
  <c r="I150" i="7"/>
  <c r="K26" i="7"/>
  <c r="I24" i="8"/>
  <c r="I19" i="8"/>
  <c r="I92" i="4"/>
  <c r="I91" i="4"/>
  <c r="L74" i="4"/>
  <c r="H74" i="4"/>
  <c r="I74" i="4"/>
  <c r="K74" i="4"/>
  <c r="L71" i="4"/>
  <c r="L62" i="4"/>
  <c r="K62" i="4"/>
  <c r="L55" i="4"/>
  <c r="I55" i="4"/>
  <c r="F55" i="4"/>
  <c r="L37" i="4"/>
  <c r="K37" i="4"/>
  <c r="F37" i="4"/>
  <c r="H37" i="4"/>
  <c r="I37" i="4"/>
  <c r="I52" i="4"/>
  <c r="H28" i="4"/>
  <c r="I24" i="4"/>
  <c r="I23" i="4"/>
  <c r="L24" i="4"/>
  <c r="K20" i="4"/>
  <c r="K21" i="4"/>
  <c r="K22" i="4"/>
  <c r="K23" i="4"/>
  <c r="K24" i="4"/>
  <c r="H24" i="4"/>
  <c r="D24" i="4"/>
  <c r="E20" i="4"/>
  <c r="E21" i="4"/>
  <c r="E22" i="4"/>
  <c r="E23" i="4"/>
  <c r="E24" i="4"/>
  <c r="K18" i="4"/>
  <c r="E14" i="4"/>
  <c r="H14" i="4"/>
  <c r="E15" i="4"/>
  <c r="H15" i="4" s="1"/>
  <c r="E13" i="4"/>
  <c r="H13" i="4" s="1"/>
  <c r="P56" i="7"/>
  <c r="P54" i="7"/>
  <c r="P19" i="7"/>
  <c r="P17" i="7"/>
  <c r="R20" i="1"/>
  <c r="J59" i="4"/>
  <c r="J57" i="4"/>
  <c r="J22" i="4"/>
  <c r="J20" i="4"/>
  <c r="K13" i="4"/>
  <c r="K15" i="4"/>
  <c r="K14" i="4"/>
  <c r="I15" i="8" l="1"/>
  <c r="B3" i="11"/>
  <c r="L52" i="10"/>
  <c r="L51" i="10"/>
  <c r="L50" i="10"/>
  <c r="L49" i="10"/>
  <c r="L48" i="10"/>
  <c r="L47" i="10"/>
  <c r="Q46" i="10"/>
  <c r="P46" i="10"/>
  <c r="O46" i="10"/>
  <c r="N46" i="10"/>
  <c r="M46" i="10"/>
  <c r="J46" i="10"/>
  <c r="I46" i="10"/>
  <c r="L45" i="10"/>
  <c r="L44" i="10"/>
  <c r="L43" i="10"/>
  <c r="L42" i="10"/>
  <c r="L41" i="10"/>
  <c r="L40" i="10"/>
  <c r="Q39" i="10"/>
  <c r="P39" i="10"/>
  <c r="O39" i="10"/>
  <c r="N39" i="10"/>
  <c r="M39" i="10"/>
  <c r="J39" i="10"/>
  <c r="I39" i="10"/>
  <c r="I31" i="10" s="1"/>
  <c r="L38" i="10"/>
  <c r="L37" i="10"/>
  <c r="L36" i="10"/>
  <c r="L35" i="10"/>
  <c r="L34" i="10"/>
  <c r="L32" i="10"/>
  <c r="Q32" i="10"/>
  <c r="P32" i="10"/>
  <c r="O32" i="10"/>
  <c r="O31" i="10" s="1"/>
  <c r="N32" i="10"/>
  <c r="M32" i="10"/>
  <c r="M31" i="10" s="1"/>
  <c r="J32" i="10"/>
  <c r="J31" i="10" s="1"/>
  <c r="I32" i="10"/>
  <c r="Q31" i="10"/>
  <c r="P31" i="10"/>
  <c r="J125" i="7"/>
  <c r="J112" i="7"/>
  <c r="R156" i="7"/>
  <c r="R150" i="7"/>
  <c r="R107" i="7"/>
  <c r="R103" i="7"/>
  <c r="R100" i="7"/>
  <c r="R96" i="7"/>
  <c r="R95" i="7"/>
  <c r="R94" i="7"/>
  <c r="R91" i="7"/>
  <c r="Q150" i="7"/>
  <c r="R92" i="7"/>
  <c r="R93" i="7"/>
  <c r="R17" i="7"/>
  <c r="R18" i="7"/>
  <c r="R19" i="7"/>
  <c r="R20" i="7"/>
  <c r="R21" i="7"/>
  <c r="R16" i="7"/>
  <c r="R15" i="7" s="1"/>
  <c r="R23" i="7"/>
  <c r="R162" i="7"/>
  <c r="R147" i="7"/>
  <c r="R145" i="7"/>
  <c r="R144" i="7"/>
  <c r="R142" i="7"/>
  <c r="R141" i="7"/>
  <c r="R140" i="7"/>
  <c r="R139" i="7"/>
  <c r="R138" i="7"/>
  <c r="R137" i="7"/>
  <c r="R136" i="7"/>
  <c r="R135" i="7"/>
  <c r="R133" i="7"/>
  <c r="R132" i="7"/>
  <c r="R131" i="7"/>
  <c r="R130" i="7"/>
  <c r="R129" i="7"/>
  <c r="R128" i="7"/>
  <c r="R127" i="7" s="1"/>
  <c r="R125" i="7"/>
  <c r="R108" i="7"/>
  <c r="R105" i="7"/>
  <c r="R104" i="7"/>
  <c r="R102" i="7"/>
  <c r="R101" i="7"/>
  <c r="R99" i="7"/>
  <c r="R98" i="7"/>
  <c r="Q91" i="7"/>
  <c r="Q148" i="7"/>
  <c r="R148" i="7" s="1"/>
  <c r="Q146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 s="1"/>
  <c r="Q122" i="7"/>
  <c r="R122" i="7" s="1"/>
  <c r="Q113" i="7"/>
  <c r="R113" i="7" s="1"/>
  <c r="Q109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0" i="7"/>
  <c r="K93" i="7"/>
  <c r="R87" i="7"/>
  <c r="Q73" i="7"/>
  <c r="R73" i="7" s="1"/>
  <c r="Q74" i="7"/>
  <c r="Q149" i="7" s="1"/>
  <c r="R149" i="7" s="1"/>
  <c r="Q75" i="7"/>
  <c r="R75" i="7" s="1"/>
  <c r="Q76" i="7"/>
  <c r="R76" i="7" s="1"/>
  <c r="Q77" i="7"/>
  <c r="R77" i="7" s="1"/>
  <c r="Q78" i="7"/>
  <c r="Q153" i="7" s="1"/>
  <c r="Q79" i="7"/>
  <c r="R79" i="7" s="1"/>
  <c r="Q80" i="7"/>
  <c r="Q155" i="7" s="1"/>
  <c r="R155" i="7" s="1"/>
  <c r="Q81" i="7"/>
  <c r="Q156" i="7" s="1"/>
  <c r="Q82" i="7"/>
  <c r="R82" i="7" s="1"/>
  <c r="Q83" i="7"/>
  <c r="Q158" i="7" s="1"/>
  <c r="R158" i="7" s="1"/>
  <c r="Q84" i="7"/>
  <c r="Q159" i="7" s="1"/>
  <c r="Q85" i="7"/>
  <c r="R85" i="7" s="1"/>
  <c r="Q86" i="7"/>
  <c r="R86" i="7" s="1"/>
  <c r="Q72" i="7"/>
  <c r="Q147" i="7" s="1"/>
  <c r="Q59" i="7"/>
  <c r="R70" i="7"/>
  <c r="R68" i="7" s="1"/>
  <c r="R69" i="7"/>
  <c r="R65" i="7"/>
  <c r="R66" i="7"/>
  <c r="R67" i="7"/>
  <c r="R60" i="7"/>
  <c r="R64" i="7"/>
  <c r="R63" i="7"/>
  <c r="R62" i="7"/>
  <c r="R61" i="7"/>
  <c r="R54" i="7"/>
  <c r="R55" i="7"/>
  <c r="R56" i="7"/>
  <c r="R57" i="7"/>
  <c r="R58" i="7"/>
  <c r="R53" i="7"/>
  <c r="R50" i="7"/>
  <c r="R37" i="7"/>
  <c r="R40" i="7"/>
  <c r="R43" i="7"/>
  <c r="R46" i="7"/>
  <c r="R49" i="7"/>
  <c r="R32" i="7"/>
  <c r="Q61" i="7"/>
  <c r="Q62" i="7"/>
  <c r="Q63" i="7"/>
  <c r="Q64" i="7"/>
  <c r="Q65" i="7"/>
  <c r="Q66" i="7"/>
  <c r="Q67" i="7"/>
  <c r="Q60" i="7"/>
  <c r="Q68" i="7"/>
  <c r="Q54" i="7"/>
  <c r="Q55" i="7"/>
  <c r="Q56" i="7"/>
  <c r="Q57" i="7"/>
  <c r="Q58" i="7"/>
  <c r="Q53" i="7"/>
  <c r="Q43" i="1"/>
  <c r="R43" i="1"/>
  <c r="Q36" i="7"/>
  <c r="Q111" i="7" s="1"/>
  <c r="R111" i="7" s="1"/>
  <c r="Q37" i="7"/>
  <c r="Q112" i="7" s="1"/>
  <c r="R112" i="7" s="1"/>
  <c r="Q38" i="7"/>
  <c r="R38" i="7" s="1"/>
  <c r="Q39" i="7"/>
  <c r="Q114" i="7" s="1"/>
  <c r="R114" i="7" s="1"/>
  <c r="Q40" i="7"/>
  <c r="Q115" i="7" s="1"/>
  <c r="R115" i="7" s="1"/>
  <c r="Q41" i="7"/>
  <c r="R41" i="7" s="1"/>
  <c r="Q42" i="7"/>
  <c r="Q117" i="7" s="1"/>
  <c r="R117" i="7" s="1"/>
  <c r="Q43" i="7"/>
  <c r="Q118" i="7" s="1"/>
  <c r="R118" i="7" s="1"/>
  <c r="Q44" i="7"/>
  <c r="R44" i="7" s="1"/>
  <c r="Q45" i="7"/>
  <c r="Q120" i="7" s="1"/>
  <c r="R120" i="7" s="1"/>
  <c r="Q46" i="7"/>
  <c r="Q121" i="7" s="1"/>
  <c r="R121" i="7" s="1"/>
  <c r="Q47" i="7"/>
  <c r="R47" i="7" s="1"/>
  <c r="Q48" i="7"/>
  <c r="Q123" i="7" s="1"/>
  <c r="R123" i="7" s="1"/>
  <c r="Q49" i="7"/>
  <c r="Q124" i="7" s="1"/>
  <c r="R124" i="7" s="1"/>
  <c r="Q35" i="7"/>
  <c r="R35" i="7" s="1"/>
  <c r="R31" i="7"/>
  <c r="R33" i="7"/>
  <c r="R24" i="7"/>
  <c r="R25" i="7"/>
  <c r="R26" i="7"/>
  <c r="R27" i="7"/>
  <c r="R28" i="7"/>
  <c r="R29" i="7"/>
  <c r="R30" i="7"/>
  <c r="Q31" i="7"/>
  <c r="Q33" i="7"/>
  <c r="Q32" i="7"/>
  <c r="Q22" i="7"/>
  <c r="Q15" i="7"/>
  <c r="Q24" i="7"/>
  <c r="Q25" i="7"/>
  <c r="Q26" i="7"/>
  <c r="Q27" i="7"/>
  <c r="Q28" i="7"/>
  <c r="Q29" i="7"/>
  <c r="Q30" i="7"/>
  <c r="Q23" i="7"/>
  <c r="Q21" i="7"/>
  <c r="Q17" i="7"/>
  <c r="Q18" i="7"/>
  <c r="Q19" i="7"/>
  <c r="Q20" i="7"/>
  <c r="D90" i="6"/>
  <c r="Q16" i="7"/>
  <c r="L97" i="7"/>
  <c r="L90" i="7"/>
  <c r="O31" i="7"/>
  <c r="I31" i="7"/>
  <c r="I106" i="7"/>
  <c r="F106" i="7"/>
  <c r="L88" i="7"/>
  <c r="L13" i="7"/>
  <c r="F88" i="7"/>
  <c r="F13" i="7"/>
  <c r="O160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 s="1"/>
  <c r="O108" i="7"/>
  <c r="O107" i="7"/>
  <c r="O106" i="7" s="1"/>
  <c r="O105" i="7"/>
  <c r="O104" i="7"/>
  <c r="O103" i="7"/>
  <c r="O102" i="7"/>
  <c r="O100" i="7"/>
  <c r="O99" i="7"/>
  <c r="O98" i="7"/>
  <c r="O96" i="7"/>
  <c r="O95" i="7"/>
  <c r="O94" i="7"/>
  <c r="O93" i="7"/>
  <c r="O92" i="7"/>
  <c r="O91" i="7"/>
  <c r="O90" i="7" s="1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 s="1"/>
  <c r="O33" i="7"/>
  <c r="O32" i="7"/>
  <c r="O30" i="7"/>
  <c r="O29" i="7"/>
  <c r="O28" i="7"/>
  <c r="O27" i="7"/>
  <c r="O25" i="7"/>
  <c r="O24" i="7"/>
  <c r="O23" i="7"/>
  <c r="O21" i="7"/>
  <c r="O20" i="7"/>
  <c r="O19" i="7"/>
  <c r="O18" i="7"/>
  <c r="O17" i="7"/>
  <c r="O16" i="7"/>
  <c r="O15" i="7"/>
  <c r="G139" i="7"/>
  <c r="G140" i="7"/>
  <c r="G141" i="7"/>
  <c r="G142" i="7"/>
  <c r="G101" i="7"/>
  <c r="G102" i="7"/>
  <c r="G103" i="7"/>
  <c r="G104" i="7"/>
  <c r="G105" i="7"/>
  <c r="I105" i="7" s="1"/>
  <c r="I145" i="7"/>
  <c r="I144" i="7"/>
  <c r="I143" i="7"/>
  <c r="I138" i="7"/>
  <c r="I137" i="7"/>
  <c r="I136" i="7"/>
  <c r="I135" i="7"/>
  <c r="I133" i="7"/>
  <c r="I132" i="7"/>
  <c r="I131" i="7"/>
  <c r="I130" i="7"/>
  <c r="I129" i="7"/>
  <c r="I128" i="7"/>
  <c r="I127" i="7" s="1"/>
  <c r="I108" i="7"/>
  <c r="I107" i="7"/>
  <c r="I104" i="7"/>
  <c r="I103" i="7"/>
  <c r="I102" i="7"/>
  <c r="I101" i="7"/>
  <c r="I100" i="7"/>
  <c r="I99" i="7"/>
  <c r="I98" i="7"/>
  <c r="I96" i="7"/>
  <c r="I95" i="7"/>
  <c r="I94" i="7"/>
  <c r="I93" i="7"/>
  <c r="I92" i="7"/>
  <c r="I91" i="7"/>
  <c r="I90" i="7"/>
  <c r="I70" i="7"/>
  <c r="I69" i="7"/>
  <c r="I61" i="7"/>
  <c r="I62" i="7"/>
  <c r="I63" i="7"/>
  <c r="I64" i="7"/>
  <c r="I65" i="7"/>
  <c r="I66" i="7"/>
  <c r="I67" i="7"/>
  <c r="I60" i="7"/>
  <c r="I57" i="7"/>
  <c r="I56" i="7"/>
  <c r="I54" i="7"/>
  <c r="I55" i="7"/>
  <c r="I58" i="7"/>
  <c r="I53" i="7"/>
  <c r="I59" i="7"/>
  <c r="H52" i="7"/>
  <c r="H59" i="7"/>
  <c r="H68" i="7"/>
  <c r="I37" i="7"/>
  <c r="I46" i="7"/>
  <c r="H31" i="7"/>
  <c r="H22" i="7"/>
  <c r="H15" i="7"/>
  <c r="I22" i="7"/>
  <c r="I15" i="7"/>
  <c r="I32" i="7"/>
  <c r="I33" i="7"/>
  <c r="I24" i="7"/>
  <c r="I25" i="7"/>
  <c r="I26" i="7"/>
  <c r="I27" i="7"/>
  <c r="I28" i="7"/>
  <c r="I29" i="7"/>
  <c r="I30" i="7"/>
  <c r="I23" i="7"/>
  <c r="I16" i="7"/>
  <c r="I17" i="7"/>
  <c r="I18" i="7"/>
  <c r="I19" i="7"/>
  <c r="I20" i="7"/>
  <c r="I21" i="7"/>
  <c r="T24" i="7"/>
  <c r="U24" i="7"/>
  <c r="V24" i="7"/>
  <c r="W24" i="7"/>
  <c r="X24" i="7"/>
  <c r="T25" i="7"/>
  <c r="U25" i="7"/>
  <c r="V25" i="7"/>
  <c r="W25" i="7"/>
  <c r="X25" i="7"/>
  <c r="T26" i="7"/>
  <c r="U26" i="7"/>
  <c r="V26" i="7"/>
  <c r="W26" i="7"/>
  <c r="X26" i="7"/>
  <c r="U23" i="7"/>
  <c r="V23" i="7"/>
  <c r="W23" i="7"/>
  <c r="X23" i="7"/>
  <c r="S23" i="7"/>
  <c r="T23" i="7"/>
  <c r="K160" i="7"/>
  <c r="K154" i="7"/>
  <c r="N154" i="7" s="1"/>
  <c r="O154" i="7" s="1"/>
  <c r="K151" i="7"/>
  <c r="K148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 s="1"/>
  <c r="K118" i="7"/>
  <c r="J118" i="7" s="1"/>
  <c r="K115" i="7"/>
  <c r="J115" i="7" s="1"/>
  <c r="K112" i="7"/>
  <c r="K106" i="7"/>
  <c r="K105" i="7"/>
  <c r="K104" i="7"/>
  <c r="K103" i="7"/>
  <c r="K102" i="7"/>
  <c r="K101" i="7"/>
  <c r="K97" i="7" s="1"/>
  <c r="K100" i="7"/>
  <c r="K99" i="7"/>
  <c r="K98" i="7"/>
  <c r="K96" i="7"/>
  <c r="K95" i="7"/>
  <c r="K94" i="7"/>
  <c r="K92" i="7"/>
  <c r="K91" i="7"/>
  <c r="K90" i="7" s="1"/>
  <c r="E91" i="7"/>
  <c r="H91" i="7"/>
  <c r="K73" i="7"/>
  <c r="K74" i="7"/>
  <c r="K149" i="7" s="1"/>
  <c r="K75" i="7"/>
  <c r="K150" i="7" s="1"/>
  <c r="K76" i="7"/>
  <c r="K77" i="7"/>
  <c r="K152" i="7" s="1"/>
  <c r="K78" i="7"/>
  <c r="K153" i="7" s="1"/>
  <c r="K79" i="7"/>
  <c r="K80" i="7"/>
  <c r="K81" i="7"/>
  <c r="J81" i="7" s="1"/>
  <c r="K82" i="7"/>
  <c r="K157" i="7" s="1"/>
  <c r="K83" i="7"/>
  <c r="K158" i="7" s="1"/>
  <c r="N158" i="7" s="1"/>
  <c r="O158" i="7" s="1"/>
  <c r="K84" i="7"/>
  <c r="J84" i="7" s="1"/>
  <c r="K85" i="7"/>
  <c r="K86" i="7"/>
  <c r="K161" i="7" s="1"/>
  <c r="N161" i="7" s="1"/>
  <c r="O161" i="7" s="1"/>
  <c r="K72" i="7"/>
  <c r="K147" i="7" s="1"/>
  <c r="K61" i="7"/>
  <c r="K62" i="7"/>
  <c r="K63" i="7"/>
  <c r="K64" i="7"/>
  <c r="K65" i="7"/>
  <c r="K66" i="7"/>
  <c r="K67" i="7"/>
  <c r="K60" i="7"/>
  <c r="K54" i="7"/>
  <c r="K55" i="7"/>
  <c r="K56" i="7"/>
  <c r="K57" i="7"/>
  <c r="K58" i="7"/>
  <c r="K53" i="7"/>
  <c r="K36" i="7"/>
  <c r="K111" i="7" s="1"/>
  <c r="K37" i="7"/>
  <c r="J37" i="7" s="1"/>
  <c r="K38" i="7"/>
  <c r="K113" i="7" s="1"/>
  <c r="J113" i="7" s="1"/>
  <c r="K39" i="7"/>
  <c r="K114" i="7" s="1"/>
  <c r="J114" i="7" s="1"/>
  <c r="K40" i="7"/>
  <c r="J40" i="7" s="1"/>
  <c r="K41" i="7"/>
  <c r="K116" i="7" s="1"/>
  <c r="J116" i="7" s="1"/>
  <c r="K42" i="7"/>
  <c r="N42" i="7" s="1"/>
  <c r="O42" i="7" s="1"/>
  <c r="K43" i="7"/>
  <c r="J43" i="7" s="1"/>
  <c r="K44" i="7"/>
  <c r="K119" i="7" s="1"/>
  <c r="K45" i="7"/>
  <c r="N45" i="7" s="1"/>
  <c r="O45" i="7" s="1"/>
  <c r="K46" i="7"/>
  <c r="J46" i="7" s="1"/>
  <c r="K47" i="7"/>
  <c r="K122" i="7" s="1"/>
  <c r="K48" i="7"/>
  <c r="N48" i="7" s="1"/>
  <c r="O48" i="7" s="1"/>
  <c r="K49" i="7"/>
  <c r="J49" i="7" s="1"/>
  <c r="K35" i="7"/>
  <c r="K110" i="7" s="1"/>
  <c r="K24" i="7"/>
  <c r="K25" i="7"/>
  <c r="K27" i="7"/>
  <c r="K28" i="7"/>
  <c r="K29" i="7"/>
  <c r="K30" i="7"/>
  <c r="K23" i="7"/>
  <c r="K21" i="7"/>
  <c r="K17" i="7"/>
  <c r="K18" i="7"/>
  <c r="K19" i="7"/>
  <c r="J19" i="7" s="1"/>
  <c r="K20" i="7"/>
  <c r="K16" i="7"/>
  <c r="N24" i="7"/>
  <c r="N162" i="7"/>
  <c r="O162" i="7" s="1"/>
  <c r="N160" i="7"/>
  <c r="N145" i="7"/>
  <c r="N144" i="7"/>
  <c r="N142" i="7"/>
  <c r="N141" i="7"/>
  <c r="N140" i="7"/>
  <c r="N139" i="7"/>
  <c r="N138" i="7"/>
  <c r="N137" i="7"/>
  <c r="N136" i="7"/>
  <c r="N135" i="7"/>
  <c r="N134" i="7" s="1"/>
  <c r="N133" i="7"/>
  <c r="N132" i="7"/>
  <c r="N131" i="7"/>
  <c r="N130" i="7"/>
  <c r="N129" i="7"/>
  <c r="N128" i="7"/>
  <c r="N127" i="7" s="1"/>
  <c r="N125" i="7"/>
  <c r="O125" i="7" s="1"/>
  <c r="N118" i="7"/>
  <c r="O118" i="7" s="1"/>
  <c r="N108" i="7"/>
  <c r="N107" i="7"/>
  <c r="N106" i="7" s="1"/>
  <c r="N105" i="7"/>
  <c r="N104" i="7"/>
  <c r="N103" i="7"/>
  <c r="N102" i="7"/>
  <c r="N101" i="7"/>
  <c r="O101" i="7" s="1"/>
  <c r="N100" i="7"/>
  <c r="N99" i="7"/>
  <c r="N98" i="7"/>
  <c r="N96" i="7"/>
  <c r="N95" i="7"/>
  <c r="N94" i="7"/>
  <c r="N93" i="7"/>
  <c r="N92" i="7"/>
  <c r="N91" i="7"/>
  <c r="N90" i="7"/>
  <c r="N86" i="7"/>
  <c r="O86" i="7" s="1"/>
  <c r="N85" i="7"/>
  <c r="O85" i="7" s="1"/>
  <c r="N83" i="7"/>
  <c r="O83" i="7" s="1"/>
  <c r="N82" i="7"/>
  <c r="O82" i="7" s="1"/>
  <c r="N80" i="7"/>
  <c r="O80" i="7" s="1"/>
  <c r="N79" i="7"/>
  <c r="O79" i="7" s="1"/>
  <c r="N70" i="7"/>
  <c r="N69" i="7"/>
  <c r="N68" i="7" s="1"/>
  <c r="N67" i="7"/>
  <c r="N66" i="7"/>
  <c r="N65" i="7"/>
  <c r="N64" i="7"/>
  <c r="N63" i="7"/>
  <c r="N62" i="7"/>
  <c r="N61" i="7"/>
  <c r="N60" i="7"/>
  <c r="N58" i="7"/>
  <c r="N57" i="7"/>
  <c r="N56" i="7"/>
  <c r="N55" i="7"/>
  <c r="N54" i="7"/>
  <c r="N52" i="7" s="1"/>
  <c r="N53" i="7"/>
  <c r="N49" i="7"/>
  <c r="O49" i="7" s="1"/>
  <c r="N47" i="7"/>
  <c r="O47" i="7" s="1"/>
  <c r="N46" i="7"/>
  <c r="O46" i="7" s="1"/>
  <c r="N44" i="7"/>
  <c r="O44" i="7" s="1"/>
  <c r="N43" i="7"/>
  <c r="O43" i="7" s="1"/>
  <c r="N33" i="7"/>
  <c r="N32" i="7"/>
  <c r="N31" i="7" s="1"/>
  <c r="N30" i="7"/>
  <c r="N29" i="7"/>
  <c r="N28" i="7"/>
  <c r="N27" i="7"/>
  <c r="N26" i="7"/>
  <c r="O26" i="7" s="1"/>
  <c r="N25" i="7"/>
  <c r="N23" i="7"/>
  <c r="N21" i="7"/>
  <c r="N20" i="7"/>
  <c r="N19" i="7"/>
  <c r="N18" i="7"/>
  <c r="N17" i="7"/>
  <c r="N16" i="7"/>
  <c r="N15" i="7" s="1"/>
  <c r="H161" i="7"/>
  <c r="I161" i="7" s="1"/>
  <c r="H158" i="7"/>
  <c r="I158" i="7" s="1"/>
  <c r="H152" i="7"/>
  <c r="H101" i="7"/>
  <c r="H82" i="7"/>
  <c r="I82" i="7" s="1"/>
  <c r="H85" i="7"/>
  <c r="I85" i="7" s="1"/>
  <c r="H84" i="7"/>
  <c r="I84" i="7" s="1"/>
  <c r="H80" i="7"/>
  <c r="I80" i="7" s="1"/>
  <c r="H77" i="7"/>
  <c r="I77" i="7" s="1"/>
  <c r="H74" i="7"/>
  <c r="I74" i="7" s="1"/>
  <c r="H53" i="7"/>
  <c r="H37" i="7"/>
  <c r="H38" i="7"/>
  <c r="I38" i="7" s="1"/>
  <c r="H40" i="7"/>
  <c r="I40" i="7" s="1"/>
  <c r="H41" i="7"/>
  <c r="I41" i="7" s="1"/>
  <c r="H43" i="7"/>
  <c r="I43" i="7" s="1"/>
  <c r="H44" i="7"/>
  <c r="I44" i="7" s="1"/>
  <c r="H46" i="7"/>
  <c r="H47" i="7"/>
  <c r="I47" i="7" s="1"/>
  <c r="H49" i="7"/>
  <c r="I49" i="7" s="1"/>
  <c r="H35" i="7"/>
  <c r="H26" i="7"/>
  <c r="H16" i="7"/>
  <c r="E155" i="7"/>
  <c r="H155" i="7" s="1"/>
  <c r="I155" i="7" s="1"/>
  <c r="E157" i="7"/>
  <c r="H157" i="7" s="1"/>
  <c r="I157" i="7" s="1"/>
  <c r="E158" i="7"/>
  <c r="E160" i="7"/>
  <c r="H160" i="7" s="1"/>
  <c r="I160" i="7" s="1"/>
  <c r="E161" i="7"/>
  <c r="E152" i="7"/>
  <c r="E149" i="7"/>
  <c r="H149" i="7" s="1"/>
  <c r="I149" i="7" s="1"/>
  <c r="E141" i="7"/>
  <c r="E142" i="7"/>
  <c r="E140" i="7"/>
  <c r="E139" i="7"/>
  <c r="E138" i="7"/>
  <c r="E137" i="7"/>
  <c r="E136" i="7"/>
  <c r="E135" i="7"/>
  <c r="E129" i="7"/>
  <c r="E130" i="7"/>
  <c r="E131" i="7"/>
  <c r="E132" i="7"/>
  <c r="E133" i="7"/>
  <c r="E128" i="7"/>
  <c r="E111" i="7"/>
  <c r="H111" i="7" s="1"/>
  <c r="I111" i="7" s="1"/>
  <c r="E114" i="7"/>
  <c r="H114" i="7" s="1"/>
  <c r="I114" i="7" s="1"/>
  <c r="E120" i="7"/>
  <c r="D120" i="7" s="1"/>
  <c r="E123" i="7"/>
  <c r="H123" i="7" s="1"/>
  <c r="I123" i="7" s="1"/>
  <c r="E99" i="7"/>
  <c r="E100" i="7"/>
  <c r="E101" i="7"/>
  <c r="E102" i="7"/>
  <c r="E103" i="7"/>
  <c r="E104" i="7"/>
  <c r="E105" i="7"/>
  <c r="E98" i="7"/>
  <c r="E92" i="7"/>
  <c r="E93" i="7"/>
  <c r="E94" i="7"/>
  <c r="E95" i="7"/>
  <c r="E96" i="7"/>
  <c r="E73" i="7"/>
  <c r="H73" i="7" s="1"/>
  <c r="I73" i="7" s="1"/>
  <c r="E74" i="7"/>
  <c r="E75" i="7"/>
  <c r="E76" i="7"/>
  <c r="H76" i="7" s="1"/>
  <c r="I76" i="7" s="1"/>
  <c r="E77" i="7"/>
  <c r="E78" i="7"/>
  <c r="E79" i="7"/>
  <c r="H79" i="7" s="1"/>
  <c r="I79" i="7" s="1"/>
  <c r="E80" i="7"/>
  <c r="E81" i="7"/>
  <c r="E82" i="7"/>
  <c r="E83" i="7"/>
  <c r="H83" i="7" s="1"/>
  <c r="I83" i="7" s="1"/>
  <c r="E84" i="7"/>
  <c r="E159" i="7" s="1"/>
  <c r="H159" i="7" s="1"/>
  <c r="I159" i="7" s="1"/>
  <c r="E85" i="7"/>
  <c r="E86" i="7"/>
  <c r="H86" i="7" s="1"/>
  <c r="I86" i="7" s="1"/>
  <c r="E72" i="7"/>
  <c r="E61" i="7"/>
  <c r="E62" i="7"/>
  <c r="E63" i="7"/>
  <c r="E64" i="7"/>
  <c r="E65" i="7"/>
  <c r="E66" i="7"/>
  <c r="E67" i="7"/>
  <c r="E60" i="7"/>
  <c r="E54" i="7"/>
  <c r="E55" i="7"/>
  <c r="E56" i="7"/>
  <c r="E57" i="7"/>
  <c r="E58" i="7"/>
  <c r="E53" i="7"/>
  <c r="E36" i="7"/>
  <c r="H36" i="7" s="1"/>
  <c r="I36" i="7" s="1"/>
  <c r="E37" i="7"/>
  <c r="E112" i="7" s="1"/>
  <c r="H112" i="7" s="1"/>
  <c r="I112" i="7" s="1"/>
  <c r="E38" i="7"/>
  <c r="E113" i="7" s="1"/>
  <c r="H113" i="7" s="1"/>
  <c r="I113" i="7" s="1"/>
  <c r="E39" i="7"/>
  <c r="H39" i="7" s="1"/>
  <c r="I39" i="7" s="1"/>
  <c r="E40" i="7"/>
  <c r="E115" i="7" s="1"/>
  <c r="E41" i="7"/>
  <c r="E116" i="7" s="1"/>
  <c r="E42" i="7"/>
  <c r="H42" i="7" s="1"/>
  <c r="I42" i="7" s="1"/>
  <c r="E43" i="7"/>
  <c r="E118" i="7" s="1"/>
  <c r="E44" i="7"/>
  <c r="E119" i="7" s="1"/>
  <c r="E45" i="7"/>
  <c r="H45" i="7" s="1"/>
  <c r="I45" i="7" s="1"/>
  <c r="E46" i="7"/>
  <c r="E121" i="7" s="1"/>
  <c r="E47" i="7"/>
  <c r="E122" i="7" s="1"/>
  <c r="E48" i="7"/>
  <c r="H48" i="7" s="1"/>
  <c r="I48" i="7" s="1"/>
  <c r="E49" i="7"/>
  <c r="E124" i="7" s="1"/>
  <c r="E35" i="7"/>
  <c r="D35" i="7" s="1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E24" i="7"/>
  <c r="E25" i="7"/>
  <c r="E26" i="7"/>
  <c r="E27" i="7"/>
  <c r="E28" i="7"/>
  <c r="E29" i="7"/>
  <c r="E30" i="7"/>
  <c r="E23" i="7"/>
  <c r="E17" i="7"/>
  <c r="E18" i="7"/>
  <c r="E19" i="7"/>
  <c r="E20" i="7"/>
  <c r="E21" i="7"/>
  <c r="E16" i="7"/>
  <c r="J162" i="7"/>
  <c r="J161" i="7"/>
  <c r="J160" i="7"/>
  <c r="J158" i="7"/>
  <c r="L146" i="7"/>
  <c r="J145" i="7"/>
  <c r="J144" i="7"/>
  <c r="L143" i="7"/>
  <c r="J142" i="7"/>
  <c r="J141" i="7"/>
  <c r="J140" i="7"/>
  <c r="J139" i="7"/>
  <c r="J138" i="7"/>
  <c r="J137" i="7"/>
  <c r="J136" i="7"/>
  <c r="J135" i="7"/>
  <c r="L134" i="7"/>
  <c r="J133" i="7"/>
  <c r="J132" i="7"/>
  <c r="J131" i="7"/>
  <c r="J130" i="7"/>
  <c r="J129" i="7"/>
  <c r="J128" i="7"/>
  <c r="L127" i="7"/>
  <c r="L109" i="7"/>
  <c r="J108" i="7"/>
  <c r="J107" i="7"/>
  <c r="L106" i="7"/>
  <c r="J105" i="7"/>
  <c r="J104" i="7"/>
  <c r="J103" i="7"/>
  <c r="J102" i="7"/>
  <c r="J101" i="7"/>
  <c r="J100" i="7"/>
  <c r="J99" i="7"/>
  <c r="J98" i="7"/>
  <c r="J96" i="7"/>
  <c r="J95" i="7"/>
  <c r="J94" i="7"/>
  <c r="J93" i="7"/>
  <c r="J92" i="7"/>
  <c r="J91" i="7"/>
  <c r="J87" i="7"/>
  <c r="J86" i="7"/>
  <c r="J85" i="7"/>
  <c r="J83" i="7"/>
  <c r="J82" i="7"/>
  <c r="J79" i="7"/>
  <c r="L71" i="7"/>
  <c r="J70" i="7"/>
  <c r="J69" i="7"/>
  <c r="L68" i="7"/>
  <c r="K68" i="7"/>
  <c r="J67" i="7"/>
  <c r="J66" i="7"/>
  <c r="J65" i="7"/>
  <c r="J64" i="7"/>
  <c r="J63" i="7"/>
  <c r="J62" i="7"/>
  <c r="J61" i="7"/>
  <c r="J60" i="7"/>
  <c r="L59" i="7"/>
  <c r="K59" i="7"/>
  <c r="J58" i="7"/>
  <c r="J57" i="7"/>
  <c r="J56" i="7"/>
  <c r="J55" i="7"/>
  <c r="J54" i="7"/>
  <c r="J53" i="7"/>
  <c r="L52" i="7"/>
  <c r="K52" i="7"/>
  <c r="J50" i="7"/>
  <c r="L34" i="7"/>
  <c r="J33" i="7"/>
  <c r="J32" i="7"/>
  <c r="L31" i="7"/>
  <c r="K31" i="7"/>
  <c r="M30" i="7"/>
  <c r="J30" i="7"/>
  <c r="M29" i="7"/>
  <c r="M66" i="7" s="1"/>
  <c r="J29" i="7"/>
  <c r="M28" i="7"/>
  <c r="M65" i="7" s="1"/>
  <c r="J28" i="7"/>
  <c r="M27" i="7"/>
  <c r="J27" i="7"/>
  <c r="J26" i="7"/>
  <c r="J25" i="7"/>
  <c r="J24" i="7"/>
  <c r="J23" i="7"/>
  <c r="L22" i="7"/>
  <c r="K22" i="7"/>
  <c r="J21" i="7"/>
  <c r="J20" i="7"/>
  <c r="J18" i="7"/>
  <c r="J17" i="7"/>
  <c r="J16" i="7"/>
  <c r="L15" i="7"/>
  <c r="K15" i="7"/>
  <c r="L163" i="7"/>
  <c r="D16" i="7"/>
  <c r="I140" i="7"/>
  <c r="I141" i="7"/>
  <c r="I142" i="7"/>
  <c r="I139" i="7"/>
  <c r="G65" i="7"/>
  <c r="G66" i="7"/>
  <c r="G67" i="7"/>
  <c r="G64" i="7"/>
  <c r="G30" i="7"/>
  <c r="G29" i="7"/>
  <c r="G28" i="7"/>
  <c r="G27" i="7"/>
  <c r="D161" i="6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12" i="1"/>
  <c r="P12" i="1"/>
  <c r="D142" i="6"/>
  <c r="D143" i="6"/>
  <c r="D158" i="6"/>
  <c r="E161" i="6"/>
  <c r="D146" i="6"/>
  <c r="D127" i="6"/>
  <c r="E127" i="6"/>
  <c r="D128" i="6"/>
  <c r="E128" i="6"/>
  <c r="D129" i="6"/>
  <c r="E129" i="6"/>
  <c r="D130" i="6"/>
  <c r="E130" i="6"/>
  <c r="D131" i="6"/>
  <c r="E131" i="6"/>
  <c r="D132" i="6"/>
  <c r="E132" i="6"/>
  <c r="D133" i="6"/>
  <c r="E133" i="6"/>
  <c r="D134" i="6"/>
  <c r="E134" i="6"/>
  <c r="D135" i="6"/>
  <c r="E135" i="6"/>
  <c r="D136" i="6"/>
  <c r="E136" i="6"/>
  <c r="D137" i="6"/>
  <c r="E137" i="6"/>
  <c r="D138" i="6"/>
  <c r="E138" i="6"/>
  <c r="D139" i="6"/>
  <c r="E139" i="6"/>
  <c r="D140" i="6"/>
  <c r="E140" i="6"/>
  <c r="D141" i="6"/>
  <c r="E141" i="6"/>
  <c r="E142" i="6"/>
  <c r="E143" i="6"/>
  <c r="D144" i="6"/>
  <c r="E144" i="6"/>
  <c r="E126" i="6"/>
  <c r="D126" i="6"/>
  <c r="E124" i="6"/>
  <c r="D124" i="6"/>
  <c r="D105" i="6"/>
  <c r="E105" i="6"/>
  <c r="D106" i="6"/>
  <c r="E106" i="6"/>
  <c r="D107" i="6"/>
  <c r="E107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E89" i="6"/>
  <c r="D89" i="6"/>
  <c r="E90" i="6"/>
  <c r="D91" i="6"/>
  <c r="E91" i="6"/>
  <c r="D92" i="6"/>
  <c r="E92" i="6"/>
  <c r="D93" i="6"/>
  <c r="E93" i="6"/>
  <c r="D94" i="6"/>
  <c r="E94" i="6"/>
  <c r="D95" i="6"/>
  <c r="E95" i="6"/>
  <c r="D13" i="6"/>
  <c r="E13" i="6"/>
  <c r="F91" i="4"/>
  <c r="G68" i="4"/>
  <c r="G69" i="4"/>
  <c r="G70" i="4"/>
  <c r="G67" i="4"/>
  <c r="G33" i="4"/>
  <c r="G32" i="4"/>
  <c r="G31" i="4"/>
  <c r="G30" i="4"/>
  <c r="G15" i="4"/>
  <c r="O22" i="7" l="1"/>
  <c r="O97" i="7"/>
  <c r="R106" i="7"/>
  <c r="R22" i="7"/>
  <c r="R159" i="7"/>
  <c r="R153" i="7"/>
  <c r="R143" i="7"/>
  <c r="R90" i="7"/>
  <c r="R52" i="7"/>
  <c r="R59" i="7"/>
  <c r="D121" i="7"/>
  <c r="H121" i="7"/>
  <c r="I121" i="7" s="1"/>
  <c r="H115" i="7"/>
  <c r="I115" i="7" s="1"/>
  <c r="D115" i="7"/>
  <c r="H72" i="7"/>
  <c r="E147" i="7"/>
  <c r="H147" i="7" s="1"/>
  <c r="I147" i="7" s="1"/>
  <c r="E156" i="7"/>
  <c r="H156" i="7" s="1"/>
  <c r="I156" i="7" s="1"/>
  <c r="H81" i="7"/>
  <c r="I81" i="7" s="1"/>
  <c r="H78" i="7"/>
  <c r="I78" i="7" s="1"/>
  <c r="E153" i="7"/>
  <c r="H153" i="7" s="1"/>
  <c r="I153" i="7" s="1"/>
  <c r="H75" i="7"/>
  <c r="I75" i="7" s="1"/>
  <c r="E150" i="7"/>
  <c r="H150" i="7" s="1"/>
  <c r="E117" i="7"/>
  <c r="D123" i="7"/>
  <c r="D124" i="7"/>
  <c r="H124" i="7"/>
  <c r="I124" i="7" s="1"/>
  <c r="D118" i="7"/>
  <c r="H118" i="7"/>
  <c r="I118" i="7" s="1"/>
  <c r="I35" i="7"/>
  <c r="I34" i="7" s="1"/>
  <c r="H34" i="7"/>
  <c r="H120" i="7"/>
  <c r="I120" i="7" s="1"/>
  <c r="J157" i="7"/>
  <c r="N157" i="7"/>
  <c r="O157" i="7" s="1"/>
  <c r="H122" i="7"/>
  <c r="I122" i="7" s="1"/>
  <c r="D122" i="7"/>
  <c r="H119" i="7"/>
  <c r="I119" i="7" s="1"/>
  <c r="D119" i="7"/>
  <c r="H116" i="7"/>
  <c r="I116" i="7" s="1"/>
  <c r="D116" i="7"/>
  <c r="N122" i="7"/>
  <c r="O122" i="7" s="1"/>
  <c r="J122" i="7"/>
  <c r="J119" i="7"/>
  <c r="N119" i="7"/>
  <c r="O119" i="7" s="1"/>
  <c r="J45" i="7"/>
  <c r="J39" i="7"/>
  <c r="K120" i="7"/>
  <c r="K159" i="7"/>
  <c r="R83" i="7"/>
  <c r="J154" i="7"/>
  <c r="E110" i="7"/>
  <c r="H110" i="7" s="1"/>
  <c r="I110" i="7" s="1"/>
  <c r="N81" i="7"/>
  <c r="O81" i="7" s="1"/>
  <c r="N84" i="7"/>
  <c r="O84" i="7" s="1"/>
  <c r="J35" i="7"/>
  <c r="J47" i="7"/>
  <c r="J44" i="7"/>
  <c r="J41" i="7"/>
  <c r="J38" i="7"/>
  <c r="K155" i="7"/>
  <c r="J80" i="7"/>
  <c r="K121" i="7"/>
  <c r="K124" i="7"/>
  <c r="K156" i="7"/>
  <c r="R80" i="7"/>
  <c r="Q116" i="7"/>
  <c r="R116" i="7" s="1"/>
  <c r="Q152" i="7"/>
  <c r="R152" i="7" s="1"/>
  <c r="Q161" i="7"/>
  <c r="R161" i="7" s="1"/>
  <c r="J48" i="7"/>
  <c r="J42" i="7"/>
  <c r="J36" i="7"/>
  <c r="K117" i="7"/>
  <c r="K123" i="7"/>
  <c r="R74" i="7"/>
  <c r="E148" i="7"/>
  <c r="H148" i="7" s="1"/>
  <c r="I148" i="7" s="1"/>
  <c r="E151" i="7"/>
  <c r="H151" i="7" s="1"/>
  <c r="I151" i="7" s="1"/>
  <c r="E154" i="7"/>
  <c r="H154" i="7" s="1"/>
  <c r="I154" i="7" s="1"/>
  <c r="Q110" i="7"/>
  <c r="R110" i="7" s="1"/>
  <c r="Q119" i="7"/>
  <c r="R119" i="7" s="1"/>
  <c r="R72" i="7"/>
  <c r="R84" i="7"/>
  <c r="R81" i="7"/>
  <c r="R78" i="7"/>
  <c r="Q151" i="7"/>
  <c r="R151" i="7" s="1"/>
  <c r="Q154" i="7"/>
  <c r="R154" i="7" s="1"/>
  <c r="Q157" i="7"/>
  <c r="R157" i="7" s="1"/>
  <c r="Q160" i="7"/>
  <c r="R160" i="7" s="1"/>
  <c r="R48" i="7"/>
  <c r="R45" i="7"/>
  <c r="R42" i="7"/>
  <c r="R39" i="7"/>
  <c r="R36" i="7"/>
  <c r="N31" i="10"/>
  <c r="L39" i="10"/>
  <c r="L46" i="10"/>
  <c r="L31" i="10"/>
  <c r="R97" i="7"/>
  <c r="R134" i="7"/>
  <c r="Q71" i="7"/>
  <c r="Q52" i="7"/>
  <c r="Q34" i="7"/>
  <c r="I134" i="7"/>
  <c r="I97" i="7"/>
  <c r="I68" i="7"/>
  <c r="I52" i="7"/>
  <c r="N143" i="7"/>
  <c r="N97" i="7"/>
  <c r="N59" i="7"/>
  <c r="N22" i="7"/>
  <c r="M64" i="7"/>
  <c r="M67" i="7"/>
  <c r="E22" i="7"/>
  <c r="L90" i="4"/>
  <c r="F74" i="4"/>
  <c r="F34" i="4"/>
  <c r="P41" i="4"/>
  <c r="P40" i="4"/>
  <c r="P39" i="4"/>
  <c r="O41" i="4"/>
  <c r="I53" i="4" s="1"/>
  <c r="O40" i="4"/>
  <c r="O39" i="4"/>
  <c r="I93" i="4"/>
  <c r="E73" i="4"/>
  <c r="H73" i="4" s="1"/>
  <c r="E72" i="4"/>
  <c r="H72" i="4" s="1"/>
  <c r="E69" i="4"/>
  <c r="H69" i="4" s="1"/>
  <c r="I69" i="4" s="1"/>
  <c r="E70" i="4"/>
  <c r="H70" i="4" s="1"/>
  <c r="I70" i="4" s="1"/>
  <c r="E68" i="4"/>
  <c r="H68" i="4" s="1"/>
  <c r="I68" i="4" s="1"/>
  <c r="E67" i="4"/>
  <c r="H67" i="4" s="1"/>
  <c r="I67" i="4" s="1"/>
  <c r="E66" i="4"/>
  <c r="H66" i="4" s="1"/>
  <c r="I66" i="4" s="1"/>
  <c r="E65" i="4"/>
  <c r="H65" i="4" s="1"/>
  <c r="I65" i="4" s="1"/>
  <c r="E64" i="4"/>
  <c r="H64" i="4" s="1"/>
  <c r="I64" i="4" s="1"/>
  <c r="E63" i="4"/>
  <c r="H63" i="4" s="1"/>
  <c r="I63" i="4" s="1"/>
  <c r="E57" i="4"/>
  <c r="H57" i="4" s="1"/>
  <c r="I57" i="4" s="1"/>
  <c r="E58" i="4"/>
  <c r="H58" i="4" s="1"/>
  <c r="I58" i="4" s="1"/>
  <c r="E59" i="4"/>
  <c r="H59" i="4" s="1"/>
  <c r="I59" i="4" s="1"/>
  <c r="E60" i="4"/>
  <c r="H60" i="4" s="1"/>
  <c r="I60" i="4" s="1"/>
  <c r="E61" i="4"/>
  <c r="H61" i="4" s="1"/>
  <c r="I61" i="4" s="1"/>
  <c r="E56" i="4"/>
  <c r="H56" i="4" s="1"/>
  <c r="I56" i="4" s="1"/>
  <c r="E36" i="4"/>
  <c r="E35" i="4"/>
  <c r="E33" i="4"/>
  <c r="E32" i="4"/>
  <c r="E31" i="4"/>
  <c r="E30" i="4"/>
  <c r="E29" i="4"/>
  <c r="E28" i="4"/>
  <c r="E27" i="4"/>
  <c r="E26" i="4"/>
  <c r="H22" i="4"/>
  <c r="E19" i="4"/>
  <c r="E86" i="6"/>
  <c r="D86" i="6"/>
  <c r="E52" i="6"/>
  <c r="E24" i="6"/>
  <c r="K19" i="4"/>
  <c r="M142" i="6"/>
  <c r="L142" i="6"/>
  <c r="K142" i="6"/>
  <c r="J142" i="6"/>
  <c r="I142" i="6"/>
  <c r="H142" i="6"/>
  <c r="G142" i="6"/>
  <c r="F142" i="6"/>
  <c r="M133" i="6"/>
  <c r="L133" i="6"/>
  <c r="K133" i="6"/>
  <c r="J133" i="6"/>
  <c r="I133" i="6"/>
  <c r="H133" i="6"/>
  <c r="G133" i="6"/>
  <c r="F133" i="6"/>
  <c r="M126" i="6"/>
  <c r="L126" i="6"/>
  <c r="K126" i="6"/>
  <c r="J126" i="6"/>
  <c r="I126" i="6"/>
  <c r="H126" i="6"/>
  <c r="G126" i="6"/>
  <c r="F126" i="6"/>
  <c r="M105" i="6"/>
  <c r="L105" i="6"/>
  <c r="K105" i="6"/>
  <c r="J105" i="6"/>
  <c r="I105" i="6"/>
  <c r="H105" i="6"/>
  <c r="G105" i="6"/>
  <c r="F105" i="6"/>
  <c r="M96" i="6"/>
  <c r="L96" i="6"/>
  <c r="K96" i="6"/>
  <c r="J96" i="6"/>
  <c r="I96" i="6"/>
  <c r="H96" i="6"/>
  <c r="G96" i="6"/>
  <c r="F96" i="6"/>
  <c r="M89" i="6"/>
  <c r="L89" i="6"/>
  <c r="K89" i="6"/>
  <c r="J89" i="6"/>
  <c r="I89" i="6"/>
  <c r="H89" i="6"/>
  <c r="G89" i="6"/>
  <c r="F89" i="6"/>
  <c r="E84" i="6"/>
  <c r="D84" i="6"/>
  <c r="E67" i="6"/>
  <c r="D67" i="6"/>
  <c r="K73" i="4" s="1"/>
  <c r="L73" i="4" s="1"/>
  <c r="E66" i="6"/>
  <c r="D66" i="6"/>
  <c r="K72" i="4" s="1"/>
  <c r="K65" i="6"/>
  <c r="J65" i="6"/>
  <c r="I65" i="6"/>
  <c r="H65" i="6"/>
  <c r="G65" i="6"/>
  <c r="F65" i="6"/>
  <c r="D65" i="6" s="1"/>
  <c r="E64" i="6"/>
  <c r="D64" i="6"/>
  <c r="K70" i="4" s="1"/>
  <c r="L70" i="4" s="1"/>
  <c r="E63" i="6"/>
  <c r="D63" i="6"/>
  <c r="K69" i="4" s="1"/>
  <c r="L69" i="4" s="1"/>
  <c r="E62" i="6"/>
  <c r="D62" i="6"/>
  <c r="K68" i="4" s="1"/>
  <c r="L68" i="4" s="1"/>
  <c r="E61" i="6"/>
  <c r="D61" i="6"/>
  <c r="K67" i="4" s="1"/>
  <c r="L67" i="4" s="1"/>
  <c r="E60" i="6"/>
  <c r="D60" i="6"/>
  <c r="K66" i="4" s="1"/>
  <c r="L66" i="4" s="1"/>
  <c r="E59" i="6"/>
  <c r="D59" i="6"/>
  <c r="K65" i="4" s="1"/>
  <c r="L65" i="4" s="1"/>
  <c r="E58" i="6"/>
  <c r="D58" i="6"/>
  <c r="K64" i="4" s="1"/>
  <c r="L64" i="4" s="1"/>
  <c r="E57" i="6"/>
  <c r="D57" i="6"/>
  <c r="K63" i="4" s="1"/>
  <c r="K56" i="6"/>
  <c r="J56" i="6"/>
  <c r="D56" i="6" s="1"/>
  <c r="I56" i="6"/>
  <c r="H56" i="6"/>
  <c r="G56" i="6"/>
  <c r="E56" i="6" s="1"/>
  <c r="F56" i="6"/>
  <c r="E55" i="6"/>
  <c r="D55" i="6"/>
  <c r="K61" i="4" s="1"/>
  <c r="L61" i="4" s="1"/>
  <c r="E54" i="6"/>
  <c r="D54" i="6"/>
  <c r="K60" i="4" s="1"/>
  <c r="L60" i="4" s="1"/>
  <c r="E53" i="6"/>
  <c r="D53" i="6"/>
  <c r="K59" i="4" s="1"/>
  <c r="L59" i="4" s="1"/>
  <c r="D52" i="6"/>
  <c r="K58" i="4" s="1"/>
  <c r="L58" i="4" s="1"/>
  <c r="E51" i="6"/>
  <c r="D51" i="6"/>
  <c r="K57" i="4" s="1"/>
  <c r="L57" i="4" s="1"/>
  <c r="E50" i="6"/>
  <c r="D50" i="6"/>
  <c r="K56" i="4" s="1"/>
  <c r="K49" i="6"/>
  <c r="J49" i="6"/>
  <c r="I49" i="6"/>
  <c r="H49" i="6"/>
  <c r="G49" i="6"/>
  <c r="F49" i="6"/>
  <c r="E47" i="6"/>
  <c r="D47" i="6"/>
  <c r="P10" i="1"/>
  <c r="Q10" i="1"/>
  <c r="D32" i="6" s="1"/>
  <c r="G28" i="6"/>
  <c r="H28" i="6"/>
  <c r="I28" i="6"/>
  <c r="J28" i="6"/>
  <c r="K28" i="6"/>
  <c r="F28" i="6"/>
  <c r="G19" i="6"/>
  <c r="H19" i="6"/>
  <c r="I19" i="6"/>
  <c r="J19" i="6"/>
  <c r="K19" i="6"/>
  <c r="F19" i="6"/>
  <c r="D26" i="6"/>
  <c r="K32" i="4" s="1"/>
  <c r="L32" i="4" s="1"/>
  <c r="E26" i="6"/>
  <c r="D27" i="6"/>
  <c r="K33" i="4" s="1"/>
  <c r="L33" i="4" s="1"/>
  <c r="E27" i="6"/>
  <c r="E25" i="6"/>
  <c r="D25" i="6"/>
  <c r="K31" i="4" s="1"/>
  <c r="L31" i="4" s="1"/>
  <c r="D24" i="6"/>
  <c r="K30" i="4" s="1"/>
  <c r="L30" i="4" s="1"/>
  <c r="E23" i="6"/>
  <c r="D23" i="6"/>
  <c r="K29" i="4" s="1"/>
  <c r="L29" i="4" s="1"/>
  <c r="E22" i="6"/>
  <c r="D22" i="6"/>
  <c r="K28" i="4" s="1"/>
  <c r="L28" i="4" s="1"/>
  <c r="E21" i="6"/>
  <c r="D21" i="6"/>
  <c r="K27" i="4" s="1"/>
  <c r="L27" i="4" s="1"/>
  <c r="E20" i="6"/>
  <c r="D20" i="6"/>
  <c r="K26" i="4" s="1"/>
  <c r="G12" i="6"/>
  <c r="H12" i="6"/>
  <c r="I12" i="6"/>
  <c r="J12" i="6"/>
  <c r="K12" i="6"/>
  <c r="F12" i="6"/>
  <c r="E16" i="6"/>
  <c r="D9" i="6"/>
  <c r="E9" i="6"/>
  <c r="L14" i="4" s="1"/>
  <c r="D110" i="6"/>
  <c r="M44" i="1"/>
  <c r="D160" i="6"/>
  <c r="D159" i="6"/>
  <c r="D157" i="6"/>
  <c r="D156" i="6"/>
  <c r="D155" i="6"/>
  <c r="D154" i="6"/>
  <c r="D153" i="6"/>
  <c r="D152" i="6"/>
  <c r="D151" i="6"/>
  <c r="D150" i="6"/>
  <c r="D149" i="6"/>
  <c r="D148" i="6"/>
  <c r="D147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09" i="6"/>
  <c r="L73" i="1"/>
  <c r="M73" i="1" s="1"/>
  <c r="L72" i="1"/>
  <c r="M72" i="1" s="1"/>
  <c r="L71" i="1"/>
  <c r="M71" i="1" s="1"/>
  <c r="L70" i="1"/>
  <c r="M70" i="1" s="1"/>
  <c r="M69" i="1"/>
  <c r="L69" i="1"/>
  <c r="M68" i="1"/>
  <c r="M67" i="1"/>
  <c r="M66" i="1"/>
  <c r="M65" i="1"/>
  <c r="M64" i="1"/>
  <c r="M63" i="1"/>
  <c r="M62" i="1"/>
  <c r="M61" i="1"/>
  <c r="M60" i="1"/>
  <c r="M59" i="1"/>
  <c r="M57" i="1"/>
  <c r="L57" i="1"/>
  <c r="L56" i="1"/>
  <c r="M56" i="1" s="1"/>
  <c r="M55" i="1"/>
  <c r="L55" i="1"/>
  <c r="L54" i="1"/>
  <c r="M54" i="1" s="1"/>
  <c r="L53" i="1"/>
  <c r="M53" i="1" s="1"/>
  <c r="M52" i="1"/>
  <c r="M51" i="1"/>
  <c r="M50" i="1"/>
  <c r="M49" i="1"/>
  <c r="M48" i="1"/>
  <c r="M47" i="1"/>
  <c r="M46" i="1"/>
  <c r="M45" i="1"/>
  <c r="M43" i="1"/>
  <c r="Q11" i="1"/>
  <c r="D33" i="6" s="1"/>
  <c r="R146" i="7" l="1"/>
  <c r="R109" i="7"/>
  <c r="R88" i="7" s="1"/>
  <c r="N155" i="7"/>
  <c r="O155" i="7" s="1"/>
  <c r="J155" i="7"/>
  <c r="I146" i="7"/>
  <c r="R71" i="7"/>
  <c r="J121" i="7"/>
  <c r="N121" i="7"/>
  <c r="O121" i="7" s="1"/>
  <c r="I72" i="7"/>
  <c r="I71" i="7" s="1"/>
  <c r="H71" i="7"/>
  <c r="J117" i="7"/>
  <c r="N117" i="7"/>
  <c r="O117" i="7" s="1"/>
  <c r="J124" i="7"/>
  <c r="N124" i="7"/>
  <c r="O124" i="7" s="1"/>
  <c r="J120" i="7"/>
  <c r="N120" i="7"/>
  <c r="O120" i="7" s="1"/>
  <c r="J123" i="7"/>
  <c r="N123" i="7"/>
  <c r="O123" i="7" s="1"/>
  <c r="J156" i="7"/>
  <c r="N156" i="7"/>
  <c r="O156" i="7" s="1"/>
  <c r="J159" i="7"/>
  <c r="N159" i="7"/>
  <c r="O159" i="7" s="1"/>
  <c r="H117" i="7"/>
  <c r="I117" i="7" s="1"/>
  <c r="I109" i="7" s="1"/>
  <c r="I88" i="7" s="1"/>
  <c r="D117" i="7"/>
  <c r="I73" i="4"/>
  <c r="R10" i="1"/>
  <c r="E34" i="4"/>
  <c r="K25" i="4"/>
  <c r="L26" i="4"/>
  <c r="E18" i="4"/>
  <c r="K55" i="4"/>
  <c r="L56" i="4"/>
  <c r="L72" i="4"/>
  <c r="K71" i="4"/>
  <c r="L19" i="4"/>
  <c r="H71" i="4"/>
  <c r="I72" i="4"/>
  <c r="D19" i="6"/>
  <c r="E65" i="6"/>
  <c r="E19" i="6"/>
  <c r="E49" i="6"/>
  <c r="D49" i="6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45" i="7"/>
  <c r="G136" i="7"/>
  <c r="G137" i="7"/>
  <c r="G138" i="7"/>
  <c r="G129" i="7"/>
  <c r="G130" i="7"/>
  <c r="G131" i="7"/>
  <c r="G132" i="7"/>
  <c r="G133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08" i="7"/>
  <c r="G99" i="7"/>
  <c r="G100" i="7"/>
  <c r="G147" i="7"/>
  <c r="G144" i="7"/>
  <c r="G135" i="7"/>
  <c r="G128" i="7"/>
  <c r="G110" i="7"/>
  <c r="G107" i="7"/>
  <c r="G98" i="7"/>
  <c r="G96" i="7"/>
  <c r="G92" i="7"/>
  <c r="G93" i="7"/>
  <c r="G94" i="7"/>
  <c r="G95" i="7"/>
  <c r="G91" i="7"/>
  <c r="H162" i="7"/>
  <c r="I162" i="7" s="1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F146" i="7"/>
  <c r="H145" i="7"/>
  <c r="D145" i="7"/>
  <c r="H144" i="7"/>
  <c r="D144" i="7"/>
  <c r="F143" i="7"/>
  <c r="E143" i="7"/>
  <c r="H142" i="7"/>
  <c r="D142" i="7"/>
  <c r="H141" i="7"/>
  <c r="D141" i="7"/>
  <c r="H140" i="7"/>
  <c r="D140" i="7"/>
  <c r="H139" i="7"/>
  <c r="D139" i="7"/>
  <c r="H138" i="7"/>
  <c r="D138" i="7"/>
  <c r="H137" i="7"/>
  <c r="D137" i="7"/>
  <c r="H136" i="7"/>
  <c r="D136" i="7"/>
  <c r="H135" i="7"/>
  <c r="H134" i="7" s="1"/>
  <c r="D135" i="7"/>
  <c r="F134" i="7"/>
  <c r="E134" i="7"/>
  <c r="H133" i="7"/>
  <c r="D133" i="7"/>
  <c r="H132" i="7"/>
  <c r="D132" i="7"/>
  <c r="H131" i="7"/>
  <c r="D131" i="7"/>
  <c r="H130" i="7"/>
  <c r="D130" i="7"/>
  <c r="H129" i="7"/>
  <c r="D129" i="7"/>
  <c r="H128" i="7"/>
  <c r="D128" i="7"/>
  <c r="F127" i="7"/>
  <c r="E127" i="7"/>
  <c r="H125" i="7"/>
  <c r="I125" i="7" s="1"/>
  <c r="D125" i="7"/>
  <c r="D114" i="7"/>
  <c r="D113" i="7"/>
  <c r="D112" i="7"/>
  <c r="D111" i="7"/>
  <c r="D110" i="7"/>
  <c r="F109" i="7"/>
  <c r="H108" i="7"/>
  <c r="D108" i="7"/>
  <c r="H107" i="7"/>
  <c r="H106" i="7" s="1"/>
  <c r="D107" i="7"/>
  <c r="E106" i="7"/>
  <c r="H105" i="7"/>
  <c r="D105" i="7"/>
  <c r="H104" i="7"/>
  <c r="D104" i="7"/>
  <c r="H103" i="7"/>
  <c r="D103" i="7"/>
  <c r="H102" i="7"/>
  <c r="D102" i="7"/>
  <c r="D101" i="7"/>
  <c r="H100" i="7"/>
  <c r="D100" i="7"/>
  <c r="H99" i="7"/>
  <c r="D99" i="7"/>
  <c r="H98" i="7"/>
  <c r="H97" i="7" s="1"/>
  <c r="D98" i="7"/>
  <c r="F97" i="7"/>
  <c r="E97" i="7"/>
  <c r="H96" i="7"/>
  <c r="D96" i="7"/>
  <c r="H95" i="7"/>
  <c r="D95" i="7"/>
  <c r="H94" i="7"/>
  <c r="D94" i="7"/>
  <c r="H93" i="7"/>
  <c r="D93" i="7"/>
  <c r="H92" i="7"/>
  <c r="D92" i="7"/>
  <c r="D91" i="7"/>
  <c r="F90" i="7"/>
  <c r="E90" i="7"/>
  <c r="D87" i="7"/>
  <c r="D86" i="7"/>
  <c r="D85" i="7"/>
  <c r="D84" i="7"/>
  <c r="D83" i="7"/>
  <c r="D82" i="7"/>
  <c r="D81" i="7"/>
  <c r="D80" i="7"/>
  <c r="D79" i="7"/>
  <c r="F71" i="7"/>
  <c r="H70" i="7"/>
  <c r="D70" i="7"/>
  <c r="H69" i="7"/>
  <c r="D69" i="7"/>
  <c r="F68" i="7"/>
  <c r="E68" i="7"/>
  <c r="H67" i="7"/>
  <c r="D67" i="7"/>
  <c r="H66" i="7"/>
  <c r="D66" i="7"/>
  <c r="H65" i="7"/>
  <c r="D65" i="7"/>
  <c r="H64" i="7"/>
  <c r="D64" i="7"/>
  <c r="H63" i="7"/>
  <c r="D63" i="7"/>
  <c r="H62" i="7"/>
  <c r="D62" i="7"/>
  <c r="H61" i="7"/>
  <c r="D61" i="7"/>
  <c r="H60" i="7"/>
  <c r="D60" i="7"/>
  <c r="F59" i="7"/>
  <c r="E59" i="7"/>
  <c r="H58" i="7"/>
  <c r="D58" i="7"/>
  <c r="H57" i="7"/>
  <c r="D57" i="7"/>
  <c r="H56" i="7"/>
  <c r="D56" i="7"/>
  <c r="H55" i="7"/>
  <c r="D55" i="7"/>
  <c r="H54" i="7"/>
  <c r="D54" i="7"/>
  <c r="D53" i="7"/>
  <c r="F52" i="7"/>
  <c r="E52" i="7"/>
  <c r="D50" i="7"/>
  <c r="F34" i="7"/>
  <c r="H33" i="7"/>
  <c r="D33" i="7"/>
  <c r="H32" i="7"/>
  <c r="D32" i="7"/>
  <c r="F31" i="7"/>
  <c r="E31" i="7"/>
  <c r="H30" i="7"/>
  <c r="D30" i="7"/>
  <c r="H29" i="7"/>
  <c r="D29" i="7"/>
  <c r="H28" i="7"/>
  <c r="D28" i="7"/>
  <c r="H27" i="7"/>
  <c r="D27" i="7"/>
  <c r="D26" i="7"/>
  <c r="H25" i="7"/>
  <c r="D25" i="7"/>
  <c r="H24" i="7"/>
  <c r="D24" i="7"/>
  <c r="H23" i="7"/>
  <c r="D23" i="7"/>
  <c r="F22" i="7"/>
  <c r="H21" i="7"/>
  <c r="D21" i="7"/>
  <c r="H20" i="7"/>
  <c r="D20" i="7"/>
  <c r="H19" i="7"/>
  <c r="D19" i="7"/>
  <c r="H18" i="7"/>
  <c r="D18" i="7"/>
  <c r="H17" i="7"/>
  <c r="D17" i="7"/>
  <c r="F15" i="7"/>
  <c r="E15" i="7"/>
  <c r="H90" i="7" l="1"/>
  <c r="K38" i="4"/>
  <c r="E32" i="6"/>
  <c r="H109" i="7"/>
  <c r="E109" i="7" s="1"/>
  <c r="H127" i="7"/>
  <c r="H146" i="7"/>
  <c r="E146" i="7" s="1"/>
  <c r="H143" i="7"/>
  <c r="E34" i="7"/>
  <c r="D73" i="4"/>
  <c r="D72" i="4"/>
  <c r="I71" i="4"/>
  <c r="F71" i="4"/>
  <c r="E71" i="4"/>
  <c r="D70" i="4"/>
  <c r="D69" i="4"/>
  <c r="D68" i="4"/>
  <c r="D67" i="4"/>
  <c r="D66" i="4"/>
  <c r="D65" i="4"/>
  <c r="D64" i="4"/>
  <c r="D63" i="4"/>
  <c r="F62" i="4"/>
  <c r="E62" i="4"/>
  <c r="D61" i="4"/>
  <c r="D60" i="4"/>
  <c r="D59" i="4"/>
  <c r="D58" i="4"/>
  <c r="D57" i="4"/>
  <c r="D56" i="4"/>
  <c r="E55" i="4"/>
  <c r="F25" i="4"/>
  <c r="E25" i="4"/>
  <c r="F18" i="4"/>
  <c r="H35" i="4"/>
  <c r="I35" i="4" s="1"/>
  <c r="H36" i="4"/>
  <c r="I36" i="4" s="1"/>
  <c r="H31" i="4"/>
  <c r="I31" i="4" s="1"/>
  <c r="H27" i="4"/>
  <c r="I27" i="4" s="1"/>
  <c r="I28" i="4"/>
  <c r="H29" i="4"/>
  <c r="I29" i="4" s="1"/>
  <c r="H30" i="4"/>
  <c r="I30" i="4" s="1"/>
  <c r="H32" i="4"/>
  <c r="I32" i="4" s="1"/>
  <c r="H33" i="4"/>
  <c r="I33" i="4" s="1"/>
  <c r="H20" i="4"/>
  <c r="I20" i="4" s="1"/>
  <c r="H21" i="4"/>
  <c r="I21" i="4" s="1"/>
  <c r="I22" i="4"/>
  <c r="H23" i="4"/>
  <c r="H19" i="4"/>
  <c r="I19" i="4" s="1"/>
  <c r="D36" i="4"/>
  <c r="D35" i="4"/>
  <c r="D28" i="4"/>
  <c r="D29" i="4"/>
  <c r="D30" i="4"/>
  <c r="D31" i="4"/>
  <c r="D32" i="4"/>
  <c r="D33" i="4"/>
  <c r="D27" i="4"/>
  <c r="D20" i="4"/>
  <c r="D21" i="4"/>
  <c r="D22" i="4"/>
  <c r="D23" i="4"/>
  <c r="D19" i="4"/>
  <c r="F13" i="4"/>
  <c r="H34" i="4" l="1"/>
  <c r="I34" i="4"/>
  <c r="I18" i="4"/>
  <c r="H18" i="4"/>
  <c r="L38" i="4"/>
  <c r="H55" i="4"/>
  <c r="H62" i="4"/>
  <c r="D13" i="4"/>
  <c r="Q19" i="1" l="1"/>
  <c r="D41" i="6" s="1"/>
  <c r="L26" i="10" l="1"/>
  <c r="L30" i="10"/>
  <c r="L29" i="10"/>
  <c r="L28" i="10"/>
  <c r="L27" i="10"/>
  <c r="L25" i="10"/>
  <c r="L23" i="10"/>
  <c r="L22" i="10"/>
  <c r="L21" i="10"/>
  <c r="L20" i="10"/>
  <c r="L19" i="10"/>
  <c r="L18" i="10"/>
  <c r="L12" i="10"/>
  <c r="L13" i="10"/>
  <c r="L14" i="10"/>
  <c r="L15" i="10"/>
  <c r="L16" i="10"/>
  <c r="L11" i="10"/>
  <c r="D14" i="4"/>
  <c r="I14" i="4"/>
  <c r="E12" i="8" l="1"/>
  <c r="Q40" i="1" l="1"/>
  <c r="D83" i="6" s="1"/>
  <c r="Q39" i="1"/>
  <c r="D82" i="6" s="1"/>
  <c r="Q38" i="1"/>
  <c r="D81" i="6" s="1"/>
  <c r="Q37" i="1"/>
  <c r="D80" i="6" s="1"/>
  <c r="Q36" i="1"/>
  <c r="D79" i="6" s="1"/>
  <c r="Q35" i="1"/>
  <c r="D78" i="6" s="1"/>
  <c r="Q34" i="1"/>
  <c r="D77" i="6" s="1"/>
  <c r="Q33" i="1"/>
  <c r="D76" i="6" s="1"/>
  <c r="Q32" i="1"/>
  <c r="D75" i="6" s="1"/>
  <c r="Q31" i="1"/>
  <c r="D74" i="6" s="1"/>
  <c r="Q30" i="1"/>
  <c r="D73" i="6" s="1"/>
  <c r="Q29" i="1"/>
  <c r="D72" i="6" s="1"/>
  <c r="Q28" i="1"/>
  <c r="D71" i="6" s="1"/>
  <c r="Q27" i="1"/>
  <c r="D70" i="6" s="1"/>
  <c r="Q26" i="1"/>
  <c r="D69" i="6" s="1"/>
  <c r="D34" i="6"/>
  <c r="Q13" i="1"/>
  <c r="D35" i="6" s="1"/>
  <c r="Q14" i="1"/>
  <c r="D36" i="6" s="1"/>
  <c r="Q15" i="1"/>
  <c r="D37" i="6" s="1"/>
  <c r="Q16" i="1"/>
  <c r="D38" i="6" s="1"/>
  <c r="Q17" i="1"/>
  <c r="D39" i="6" s="1"/>
  <c r="Q18" i="1"/>
  <c r="D40" i="6" s="1"/>
  <c r="Q20" i="1"/>
  <c r="D42" i="6" s="1"/>
  <c r="Q21" i="1"/>
  <c r="D43" i="6" s="1"/>
  <c r="Q22" i="1"/>
  <c r="D44" i="6" s="1"/>
  <c r="Q23" i="1"/>
  <c r="D45" i="6" s="1"/>
  <c r="Q24" i="1"/>
  <c r="D46" i="6" s="1"/>
  <c r="F73" i="1"/>
  <c r="G73" i="1" s="1"/>
  <c r="F72" i="1"/>
  <c r="G72" i="1" s="1"/>
  <c r="F71" i="1"/>
  <c r="G71" i="1" s="1"/>
  <c r="F70" i="1"/>
  <c r="G70" i="1" s="1"/>
  <c r="F69" i="1"/>
  <c r="G69" i="1" s="1"/>
  <c r="G68" i="1"/>
  <c r="G67" i="1"/>
  <c r="G66" i="1"/>
  <c r="G65" i="1"/>
  <c r="G64" i="1"/>
  <c r="G63" i="1"/>
  <c r="G62" i="1"/>
  <c r="G61" i="1"/>
  <c r="G60" i="1"/>
  <c r="G59" i="1"/>
  <c r="F57" i="1"/>
  <c r="G57" i="1" s="1"/>
  <c r="F56" i="1"/>
  <c r="G56" i="1" s="1"/>
  <c r="F55" i="1"/>
  <c r="G55" i="1" s="1"/>
  <c r="F54" i="1"/>
  <c r="G54" i="1" s="1"/>
  <c r="F53" i="1"/>
  <c r="G53" i="1" s="1"/>
  <c r="G52" i="1"/>
  <c r="G51" i="1"/>
  <c r="G50" i="1"/>
  <c r="G49" i="1"/>
  <c r="G48" i="1"/>
  <c r="G47" i="1"/>
  <c r="G46" i="1"/>
  <c r="G45" i="1"/>
  <c r="G44" i="1"/>
  <c r="G43" i="1"/>
  <c r="F40" i="1"/>
  <c r="G40" i="1" s="1"/>
  <c r="F39" i="1"/>
  <c r="G39" i="1" s="1"/>
  <c r="F38" i="1"/>
  <c r="G38" i="1" s="1"/>
  <c r="F37" i="1"/>
  <c r="G37" i="1" s="1"/>
  <c r="F36" i="1"/>
  <c r="G36" i="1" s="1"/>
  <c r="G35" i="1"/>
  <c r="G34" i="1"/>
  <c r="G33" i="1"/>
  <c r="G32" i="1"/>
  <c r="G31" i="1"/>
  <c r="G30" i="1"/>
  <c r="G29" i="1"/>
  <c r="G28" i="1"/>
  <c r="G27" i="1"/>
  <c r="G26" i="1"/>
  <c r="F24" i="1"/>
  <c r="G24" i="1" s="1"/>
  <c r="F23" i="1"/>
  <c r="G23" i="1" s="1"/>
  <c r="F22" i="1"/>
  <c r="G22" i="1" s="1"/>
  <c r="F21" i="1"/>
  <c r="G21" i="1" s="1"/>
  <c r="F20" i="1"/>
  <c r="G20" i="1" s="1"/>
  <c r="G19" i="1"/>
  <c r="G18" i="1"/>
  <c r="G17" i="1"/>
  <c r="G16" i="1"/>
  <c r="G15" i="1"/>
  <c r="G14" i="1"/>
  <c r="G13" i="1"/>
  <c r="G12" i="1"/>
  <c r="G11" i="1"/>
  <c r="G10" i="1"/>
  <c r="C73" i="1"/>
  <c r="D73" i="1" s="1"/>
  <c r="C72" i="1"/>
  <c r="D72" i="1" s="1"/>
  <c r="C71" i="1"/>
  <c r="D71" i="1" s="1"/>
  <c r="C70" i="1"/>
  <c r="D70" i="1" s="1"/>
  <c r="C69" i="1"/>
  <c r="D69" i="1" s="1"/>
  <c r="D68" i="1"/>
  <c r="D67" i="1"/>
  <c r="D66" i="1"/>
  <c r="D65" i="1"/>
  <c r="D64" i="1"/>
  <c r="D63" i="1"/>
  <c r="D62" i="1"/>
  <c r="D61" i="1"/>
  <c r="D60" i="1"/>
  <c r="D59" i="1"/>
  <c r="C57" i="1"/>
  <c r="D57" i="1" s="1"/>
  <c r="C56" i="1"/>
  <c r="D56" i="1" s="1"/>
  <c r="C55" i="1"/>
  <c r="D55" i="1" s="1"/>
  <c r="C54" i="1"/>
  <c r="D54" i="1" s="1"/>
  <c r="C53" i="1"/>
  <c r="D53" i="1" s="1"/>
  <c r="D52" i="1"/>
  <c r="D51" i="1"/>
  <c r="D50" i="1"/>
  <c r="D49" i="1"/>
  <c r="D48" i="1"/>
  <c r="D47" i="1"/>
  <c r="D46" i="1"/>
  <c r="D45" i="1"/>
  <c r="D44" i="1"/>
  <c r="D43" i="1"/>
  <c r="C40" i="1"/>
  <c r="D40" i="1" s="1"/>
  <c r="C39" i="1"/>
  <c r="D39" i="1" s="1"/>
  <c r="C38" i="1"/>
  <c r="D38" i="1" s="1"/>
  <c r="C37" i="1"/>
  <c r="D37" i="1" s="1"/>
  <c r="C36" i="1"/>
  <c r="D36" i="1" s="1"/>
  <c r="D35" i="1"/>
  <c r="D34" i="1"/>
  <c r="D33" i="1"/>
  <c r="D32" i="1"/>
  <c r="D31" i="1"/>
  <c r="D30" i="1"/>
  <c r="D29" i="1"/>
  <c r="D28" i="1"/>
  <c r="D27" i="1"/>
  <c r="D26" i="1"/>
  <c r="C24" i="1"/>
  <c r="D24" i="1" s="1"/>
  <c r="C23" i="1"/>
  <c r="D23" i="1" s="1"/>
  <c r="C22" i="1"/>
  <c r="D22" i="1" s="1"/>
  <c r="C21" i="1"/>
  <c r="D21" i="1" s="1"/>
  <c r="C20" i="1"/>
  <c r="D20" i="1" s="1"/>
  <c r="D19" i="1"/>
  <c r="D18" i="1"/>
  <c r="D17" i="1"/>
  <c r="D16" i="1"/>
  <c r="D15" i="1"/>
  <c r="D14" i="1"/>
  <c r="D13" i="1"/>
  <c r="D12" i="1"/>
  <c r="D11" i="1"/>
  <c r="D10" i="1"/>
  <c r="N16" i="11"/>
  <c r="N9" i="11"/>
  <c r="I16" i="11"/>
  <c r="K16" i="11"/>
  <c r="J16" i="11"/>
  <c r="H16" i="11"/>
  <c r="I9" i="11"/>
  <c r="J9" i="11"/>
  <c r="K9" i="11"/>
  <c r="H9" i="11"/>
  <c r="G9" i="11"/>
  <c r="G16" i="11" l="1"/>
  <c r="F16" i="11"/>
  <c r="F9" i="11"/>
  <c r="E30" i="6" l="1"/>
  <c r="D30" i="6"/>
  <c r="K36" i="4" s="1"/>
  <c r="L36" i="4" s="1"/>
  <c r="D14" i="6"/>
  <c r="L20" i="4" s="1"/>
  <c r="E14" i="6"/>
  <c r="D16" i="6"/>
  <c r="L22" i="4" s="1"/>
  <c r="D17" i="6"/>
  <c r="E17" i="6"/>
  <c r="E18" i="6"/>
  <c r="D18" i="6"/>
  <c r="L23" i="4" s="1"/>
  <c r="M10" i="10" l="1"/>
  <c r="M24" i="10"/>
  <c r="M17" i="10"/>
  <c r="M9" i="10" l="1"/>
  <c r="L15" i="4"/>
  <c r="Q24" i="10"/>
  <c r="P24" i="10"/>
  <c r="O24" i="10"/>
  <c r="N24" i="10"/>
  <c r="Q17" i="10"/>
  <c r="P17" i="10"/>
  <c r="O17" i="10"/>
  <c r="N17" i="10"/>
  <c r="O10" i="10"/>
  <c r="P10" i="10"/>
  <c r="P9" i="10" s="1"/>
  <c r="Q10" i="10"/>
  <c r="Q9" i="10" s="1"/>
  <c r="N10" i="10"/>
  <c r="N9" i="10" s="1"/>
  <c r="O9" i="10" l="1"/>
  <c r="L9" i="10" s="1"/>
  <c r="J10" i="1"/>
  <c r="E38" i="4" l="1"/>
  <c r="L24" i="10"/>
  <c r="J24" i="10"/>
  <c r="I24" i="10"/>
  <c r="L17" i="10"/>
  <c r="J17" i="10"/>
  <c r="I17" i="10"/>
  <c r="L10" i="10"/>
  <c r="J10" i="10"/>
  <c r="J9" i="10" s="1"/>
  <c r="I10" i="10"/>
  <c r="I9" i="10" s="1"/>
  <c r="H38" i="4" l="1"/>
  <c r="B3" i="10"/>
  <c r="I38" i="4" l="1"/>
  <c r="E22" i="8"/>
  <c r="E25" i="8" l="1"/>
  <c r="E21" i="8"/>
  <c r="E13" i="8"/>
  <c r="U11" i="8"/>
  <c r="U10" i="8"/>
  <c r="U9" i="8"/>
  <c r="P11" i="8"/>
  <c r="P10" i="8"/>
  <c r="P9" i="8"/>
  <c r="I10" i="8"/>
  <c r="I11" i="8"/>
  <c r="I9" i="8"/>
  <c r="B3" i="8"/>
  <c r="I20" i="8"/>
  <c r="H19" i="8"/>
  <c r="U13" i="8"/>
  <c r="U12" i="8"/>
  <c r="L12" i="8"/>
  <c r="F12" i="8"/>
  <c r="G12" i="8"/>
  <c r="O12" i="8"/>
  <c r="O13" i="8" s="1"/>
  <c r="N12" i="8"/>
  <c r="N13" i="8" s="1"/>
  <c r="F25" i="8" l="1"/>
  <c r="E37" i="8"/>
  <c r="E27" i="8"/>
  <c r="E36" i="8"/>
  <c r="G28" i="8"/>
  <c r="G27" i="8"/>
  <c r="G25" i="8"/>
  <c r="E26" i="8"/>
  <c r="E35" i="8"/>
  <c r="E31" i="8"/>
  <c r="E30" i="8"/>
  <c r="P12" i="8"/>
  <c r="E33" i="8"/>
  <c r="E28" i="8"/>
  <c r="E23" i="8"/>
  <c r="E32" i="8"/>
  <c r="G38" i="8"/>
  <c r="G35" i="8"/>
  <c r="G32" i="8"/>
  <c r="G26" i="8"/>
  <c r="G36" i="8"/>
  <c r="G33" i="8"/>
  <c r="G30" i="8"/>
  <c r="G37" i="8"/>
  <c r="G31" i="8"/>
  <c r="G23" i="8"/>
  <c r="G19" i="8" s="1"/>
  <c r="G13" i="8"/>
  <c r="L13" i="8"/>
  <c r="E38" i="8"/>
  <c r="F26" i="8"/>
  <c r="M12" i="8"/>
  <c r="F35" i="8" s="1"/>
  <c r="F13" i="8"/>
  <c r="F22" i="8"/>
  <c r="F23" i="8"/>
  <c r="F31" i="8"/>
  <c r="F27" i="8" l="1"/>
  <c r="F33" i="8"/>
  <c r="F28" i="8"/>
  <c r="F19" i="8"/>
  <c r="F32" i="8"/>
  <c r="F36" i="8"/>
  <c r="F37" i="8"/>
  <c r="G24" i="8"/>
  <c r="E34" i="8"/>
  <c r="I23" i="8"/>
  <c r="E29" i="8"/>
  <c r="G34" i="8"/>
  <c r="E24" i="8"/>
  <c r="E19" i="8"/>
  <c r="I21" i="8"/>
  <c r="F38" i="8"/>
  <c r="M13" i="8"/>
  <c r="P13" i="8" s="1"/>
  <c r="F30" i="8"/>
  <c r="G29" i="8"/>
  <c r="I22" i="8"/>
  <c r="G39" i="8" l="1"/>
  <c r="F29" i="8"/>
  <c r="F24" i="8"/>
  <c r="F34" i="8"/>
  <c r="E39" i="8"/>
  <c r="F39" i="8" l="1"/>
  <c r="E28" i="6" l="1"/>
  <c r="D28" i="6"/>
  <c r="E29" i="6" l="1"/>
  <c r="D15" i="6"/>
  <c r="L21" i="4" s="1"/>
  <c r="D29" i="6"/>
  <c r="K35" i="4" s="1"/>
  <c r="E12" i="6"/>
  <c r="E15" i="6"/>
  <c r="D12" i="6"/>
  <c r="L35" i="4" l="1"/>
  <c r="K34" i="4"/>
  <c r="O73" i="1"/>
  <c r="P73" i="1" s="1"/>
  <c r="R73" i="1" s="1"/>
  <c r="E160" i="6" s="1"/>
  <c r="I73" i="1"/>
  <c r="J73" i="1" s="1"/>
  <c r="O72" i="1"/>
  <c r="P72" i="1" s="1"/>
  <c r="R72" i="1" s="1"/>
  <c r="E159" i="6" s="1"/>
  <c r="I72" i="1"/>
  <c r="J72" i="1" s="1"/>
  <c r="O71" i="1"/>
  <c r="P71" i="1" s="1"/>
  <c r="R71" i="1" s="1"/>
  <c r="E158" i="6" s="1"/>
  <c r="I71" i="1"/>
  <c r="J71" i="1" s="1"/>
  <c r="O70" i="1"/>
  <c r="P70" i="1" s="1"/>
  <c r="R70" i="1" s="1"/>
  <c r="E157" i="6" s="1"/>
  <c r="I70" i="1"/>
  <c r="J70" i="1" s="1"/>
  <c r="O69" i="1"/>
  <c r="P69" i="1" s="1"/>
  <c r="R69" i="1" s="1"/>
  <c r="E156" i="6" s="1"/>
  <c r="I69" i="1"/>
  <c r="J69" i="1" s="1"/>
  <c r="P68" i="1"/>
  <c r="R68" i="1" s="1"/>
  <c r="E155" i="6" s="1"/>
  <c r="J68" i="1"/>
  <c r="P67" i="1"/>
  <c r="R67" i="1" s="1"/>
  <c r="E154" i="6" s="1"/>
  <c r="J67" i="1"/>
  <c r="P66" i="1"/>
  <c r="R66" i="1" s="1"/>
  <c r="E153" i="6" s="1"/>
  <c r="J66" i="1"/>
  <c r="P65" i="1"/>
  <c r="R65" i="1" s="1"/>
  <c r="E152" i="6" s="1"/>
  <c r="J65" i="1"/>
  <c r="P64" i="1"/>
  <c r="R64" i="1" s="1"/>
  <c r="E151" i="6" s="1"/>
  <c r="J64" i="1"/>
  <c r="P63" i="1"/>
  <c r="R63" i="1" s="1"/>
  <c r="E150" i="6" s="1"/>
  <c r="J63" i="1"/>
  <c r="P62" i="1"/>
  <c r="R62" i="1" s="1"/>
  <c r="E149" i="6" s="1"/>
  <c r="J62" i="1"/>
  <c r="P61" i="1"/>
  <c r="R61" i="1" s="1"/>
  <c r="E148" i="6" s="1"/>
  <c r="J61" i="1"/>
  <c r="P60" i="1"/>
  <c r="R60" i="1" s="1"/>
  <c r="E147" i="6" s="1"/>
  <c r="J60" i="1"/>
  <c r="P59" i="1"/>
  <c r="R59" i="1" s="1"/>
  <c r="E146" i="6" s="1"/>
  <c r="J59" i="1"/>
  <c r="O57" i="1"/>
  <c r="P57" i="1" s="1"/>
  <c r="R57" i="1" s="1"/>
  <c r="E123" i="6" s="1"/>
  <c r="I57" i="1"/>
  <c r="J57" i="1" s="1"/>
  <c r="O56" i="1"/>
  <c r="P56" i="1" s="1"/>
  <c r="R56" i="1" s="1"/>
  <c r="E122" i="6" s="1"/>
  <c r="I56" i="1"/>
  <c r="J56" i="1" s="1"/>
  <c r="O55" i="1"/>
  <c r="P55" i="1" s="1"/>
  <c r="R55" i="1" s="1"/>
  <c r="E121" i="6" s="1"/>
  <c r="I55" i="1"/>
  <c r="J55" i="1" s="1"/>
  <c r="O54" i="1"/>
  <c r="P54" i="1" s="1"/>
  <c r="R54" i="1" s="1"/>
  <c r="E120" i="6" s="1"/>
  <c r="I54" i="1"/>
  <c r="J54" i="1" s="1"/>
  <c r="O53" i="1"/>
  <c r="P53" i="1" s="1"/>
  <c r="R53" i="1" s="1"/>
  <c r="E119" i="6" s="1"/>
  <c r="I53" i="1"/>
  <c r="J53" i="1" s="1"/>
  <c r="P52" i="1"/>
  <c r="J52" i="1"/>
  <c r="D78" i="7" s="1"/>
  <c r="P51" i="1"/>
  <c r="J51" i="1"/>
  <c r="P50" i="1"/>
  <c r="R50" i="1" s="1"/>
  <c r="E116" i="6" s="1"/>
  <c r="J50" i="1"/>
  <c r="P49" i="1"/>
  <c r="R49" i="1" s="1"/>
  <c r="E115" i="6" s="1"/>
  <c r="J49" i="1"/>
  <c r="P48" i="1"/>
  <c r="R48" i="1" s="1"/>
  <c r="E114" i="6" s="1"/>
  <c r="J48" i="1"/>
  <c r="P47" i="1"/>
  <c r="J47" i="1"/>
  <c r="D75" i="7" s="1"/>
  <c r="P46" i="1"/>
  <c r="J46" i="1"/>
  <c r="D74" i="7" s="1"/>
  <c r="P45" i="1"/>
  <c r="J45" i="1"/>
  <c r="D73" i="7" s="1"/>
  <c r="P44" i="1"/>
  <c r="R44" i="1" s="1"/>
  <c r="E110" i="6" s="1"/>
  <c r="J44" i="1"/>
  <c r="P43" i="1"/>
  <c r="E109" i="6" s="1"/>
  <c r="J43" i="1"/>
  <c r="L91" i="4"/>
  <c r="D90" i="4"/>
  <c r="L53" i="4"/>
  <c r="O40" i="1"/>
  <c r="P40" i="1" s="1"/>
  <c r="R40" i="1" s="1"/>
  <c r="I40" i="1"/>
  <c r="J40" i="1" s="1"/>
  <c r="E89" i="4" s="1"/>
  <c r="O39" i="1"/>
  <c r="P39" i="1" s="1"/>
  <c r="R39" i="1" s="1"/>
  <c r="I39" i="1"/>
  <c r="J39" i="1" s="1"/>
  <c r="E88" i="4" s="1"/>
  <c r="O38" i="1"/>
  <c r="P38" i="1" s="1"/>
  <c r="N87" i="7" s="1"/>
  <c r="O87" i="7" s="1"/>
  <c r="I38" i="1"/>
  <c r="J38" i="1" s="1"/>
  <c r="O37" i="1"/>
  <c r="P37" i="1" s="1"/>
  <c r="R37" i="1" s="1"/>
  <c r="I37" i="1"/>
  <c r="J37" i="1" s="1"/>
  <c r="E86" i="4" s="1"/>
  <c r="O24" i="1"/>
  <c r="P24" i="1" s="1"/>
  <c r="R24" i="1" s="1"/>
  <c r="O23" i="1"/>
  <c r="P23" i="1" s="1"/>
  <c r="R23" i="1" s="1"/>
  <c r="O22" i="1"/>
  <c r="P22" i="1" s="1"/>
  <c r="N50" i="7" s="1"/>
  <c r="O50" i="7" s="1"/>
  <c r="O21" i="1"/>
  <c r="P21" i="1" s="1"/>
  <c r="R21" i="1" s="1"/>
  <c r="I24" i="1"/>
  <c r="J24" i="1" s="1"/>
  <c r="E52" i="4" s="1"/>
  <c r="I23" i="1"/>
  <c r="J23" i="1" s="1"/>
  <c r="E51" i="4" s="1"/>
  <c r="I22" i="1"/>
  <c r="J22" i="1" s="1"/>
  <c r="I21" i="1"/>
  <c r="J21" i="1" s="1"/>
  <c r="E49" i="4" s="1"/>
  <c r="J13" i="4"/>
  <c r="G13" i="4"/>
  <c r="D53" i="4"/>
  <c r="D26" i="4"/>
  <c r="H26" i="4"/>
  <c r="R22" i="1" l="1"/>
  <c r="E44" i="6" s="1"/>
  <c r="R38" i="1"/>
  <c r="E81" i="6" s="1"/>
  <c r="K52" i="4"/>
  <c r="L52" i="4" s="1"/>
  <c r="E46" i="6"/>
  <c r="H49" i="4"/>
  <c r="I49" i="4" s="1"/>
  <c r="D49" i="4"/>
  <c r="H52" i="4"/>
  <c r="D52" i="4"/>
  <c r="K51" i="4"/>
  <c r="L51" i="4" s="1"/>
  <c r="E45" i="6"/>
  <c r="K86" i="4"/>
  <c r="L86" i="4" s="1"/>
  <c r="E80" i="6"/>
  <c r="H88" i="4"/>
  <c r="I88" i="4" s="1"/>
  <c r="D88" i="4"/>
  <c r="K89" i="4"/>
  <c r="L89" i="4" s="1"/>
  <c r="E83" i="6"/>
  <c r="H50" i="7"/>
  <c r="I50" i="7" s="1"/>
  <c r="E50" i="4"/>
  <c r="H87" i="7"/>
  <c r="I87" i="7" s="1"/>
  <c r="E87" i="4"/>
  <c r="K49" i="4"/>
  <c r="L49" i="4" s="1"/>
  <c r="E43" i="6"/>
  <c r="K88" i="4"/>
  <c r="L88" i="4" s="1"/>
  <c r="E82" i="6"/>
  <c r="I26" i="4"/>
  <c r="H25" i="4"/>
  <c r="D51" i="4"/>
  <c r="H51" i="4"/>
  <c r="I51" i="4" s="1"/>
  <c r="K50" i="4"/>
  <c r="L50" i="4" s="1"/>
  <c r="H86" i="4"/>
  <c r="I86" i="4" s="1"/>
  <c r="D86" i="4"/>
  <c r="K87" i="4"/>
  <c r="L87" i="4" s="1"/>
  <c r="H89" i="4"/>
  <c r="I89" i="4" s="1"/>
  <c r="D89" i="4"/>
  <c r="R46" i="1"/>
  <c r="E112" i="6" s="1"/>
  <c r="D76" i="7"/>
  <c r="D77" i="7"/>
  <c r="R52" i="1"/>
  <c r="E118" i="6" s="1"/>
  <c r="R45" i="1"/>
  <c r="E111" i="6" s="1"/>
  <c r="R51" i="1"/>
  <c r="E117" i="6" s="1"/>
  <c r="R47" i="1"/>
  <c r="E113" i="6" s="1"/>
  <c r="I90" i="4"/>
  <c r="F16" i="4"/>
  <c r="F94" i="4" s="1"/>
  <c r="D15" i="4"/>
  <c r="I13" i="7" l="1"/>
  <c r="I163" i="7" s="1"/>
  <c r="D50" i="4"/>
  <c r="H50" i="4"/>
  <c r="I50" i="4" s="1"/>
  <c r="H87" i="4"/>
  <c r="I87" i="4" s="1"/>
  <c r="D87" i="4"/>
  <c r="D72" i="7"/>
  <c r="E71" i="7"/>
  <c r="L34" i="4"/>
  <c r="L25" i="4" l="1"/>
  <c r="L18" i="4"/>
  <c r="O36" i="1"/>
  <c r="P36" i="1" s="1"/>
  <c r="R36" i="1" s="1"/>
  <c r="I36" i="1"/>
  <c r="J36" i="1" s="1"/>
  <c r="E85" i="4" s="1"/>
  <c r="I20" i="1"/>
  <c r="O20" i="1"/>
  <c r="P20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R28" i="1" s="1"/>
  <c r="P27" i="1"/>
  <c r="R27" i="1" s="1"/>
  <c r="P26" i="1"/>
  <c r="R26" i="1" s="1"/>
  <c r="P19" i="1"/>
  <c r="P18" i="1"/>
  <c r="R18" i="1" s="1"/>
  <c r="P17" i="1"/>
  <c r="P16" i="1"/>
  <c r="P15" i="1"/>
  <c r="R15" i="1" s="1"/>
  <c r="P14" i="1"/>
  <c r="P13" i="1"/>
  <c r="R12" i="1"/>
  <c r="P11" i="1"/>
  <c r="J35" i="1"/>
  <c r="E84" i="4" s="1"/>
  <c r="J34" i="1"/>
  <c r="E83" i="4" s="1"/>
  <c r="J33" i="1"/>
  <c r="E82" i="4" s="1"/>
  <c r="J32" i="1"/>
  <c r="E81" i="4" s="1"/>
  <c r="J31" i="1"/>
  <c r="E80" i="4" s="1"/>
  <c r="J30" i="1"/>
  <c r="E79" i="4" s="1"/>
  <c r="J29" i="1"/>
  <c r="E78" i="4" s="1"/>
  <c r="J28" i="1"/>
  <c r="E77" i="4" s="1"/>
  <c r="J27" i="1"/>
  <c r="E76" i="4" s="1"/>
  <c r="J26" i="1"/>
  <c r="E75" i="4" s="1"/>
  <c r="J11" i="1"/>
  <c r="J12" i="1"/>
  <c r="J13" i="1"/>
  <c r="E41" i="4" s="1"/>
  <c r="H41" i="4" s="1"/>
  <c r="I41" i="4" s="1"/>
  <c r="J14" i="1"/>
  <c r="E42" i="4" s="1"/>
  <c r="H42" i="4" s="1"/>
  <c r="I42" i="4" s="1"/>
  <c r="J15" i="1"/>
  <c r="E43" i="4" s="1"/>
  <c r="H43" i="4" s="1"/>
  <c r="I43" i="4" s="1"/>
  <c r="J16" i="1"/>
  <c r="J17" i="1"/>
  <c r="J18" i="1"/>
  <c r="E46" i="4" s="1"/>
  <c r="J19" i="1"/>
  <c r="E47" i="4" s="1"/>
  <c r="J20" i="1"/>
  <c r="E48" i="4" s="1"/>
  <c r="L13" i="4"/>
  <c r="I15" i="4"/>
  <c r="R13" i="1" l="1"/>
  <c r="R16" i="1"/>
  <c r="K44" i="4" s="1"/>
  <c r="L44" i="4" s="1"/>
  <c r="R11" i="1"/>
  <c r="R17" i="1"/>
  <c r="D48" i="4"/>
  <c r="H48" i="4"/>
  <c r="I48" i="4" s="1"/>
  <c r="E45" i="4"/>
  <c r="E39" i="4"/>
  <c r="H77" i="4"/>
  <c r="I77" i="4" s="1"/>
  <c r="D77" i="4"/>
  <c r="H80" i="4"/>
  <c r="I80" i="4" s="1"/>
  <c r="D80" i="4"/>
  <c r="H83" i="4"/>
  <c r="I83" i="4" s="1"/>
  <c r="D83" i="4"/>
  <c r="K40" i="4"/>
  <c r="L40" i="4" s="1"/>
  <c r="E34" i="6"/>
  <c r="K43" i="4"/>
  <c r="L43" i="4" s="1"/>
  <c r="E37" i="6"/>
  <c r="K46" i="4"/>
  <c r="L46" i="4" s="1"/>
  <c r="E40" i="6"/>
  <c r="K76" i="4"/>
  <c r="L76" i="4" s="1"/>
  <c r="E70" i="6"/>
  <c r="K79" i="4"/>
  <c r="L79" i="4" s="1"/>
  <c r="E73" i="6"/>
  <c r="K82" i="4"/>
  <c r="L82" i="4" s="1"/>
  <c r="E76" i="6"/>
  <c r="K85" i="4"/>
  <c r="L85" i="4" s="1"/>
  <c r="E79" i="6"/>
  <c r="E74" i="4"/>
  <c r="H75" i="4"/>
  <c r="D75" i="4"/>
  <c r="H78" i="4"/>
  <c r="I78" i="4" s="1"/>
  <c r="D78" i="4"/>
  <c r="H81" i="4"/>
  <c r="I81" i="4" s="1"/>
  <c r="D81" i="4"/>
  <c r="H84" i="4"/>
  <c r="I84" i="4" s="1"/>
  <c r="D84" i="4"/>
  <c r="K41" i="4"/>
  <c r="L41" i="4" s="1"/>
  <c r="E35" i="6"/>
  <c r="E38" i="6"/>
  <c r="K77" i="4"/>
  <c r="L77" i="4" s="1"/>
  <c r="E71" i="6"/>
  <c r="K80" i="4"/>
  <c r="L80" i="4" s="1"/>
  <c r="E74" i="6"/>
  <c r="K83" i="4"/>
  <c r="L83" i="4" s="1"/>
  <c r="E77" i="6"/>
  <c r="D47" i="4"/>
  <c r="H47" i="4"/>
  <c r="I47" i="4" s="1"/>
  <c r="E44" i="4"/>
  <c r="H46" i="4"/>
  <c r="I46" i="4" s="1"/>
  <c r="D46" i="4"/>
  <c r="E40" i="4"/>
  <c r="H40" i="4" s="1"/>
  <c r="I40" i="4" s="1"/>
  <c r="H76" i="4"/>
  <c r="I76" i="4" s="1"/>
  <c r="D76" i="4"/>
  <c r="H79" i="4"/>
  <c r="I79" i="4" s="1"/>
  <c r="D79" i="4"/>
  <c r="H82" i="4"/>
  <c r="I82" i="4" s="1"/>
  <c r="D82" i="4"/>
  <c r="K39" i="4"/>
  <c r="E33" i="6"/>
  <c r="K45" i="4"/>
  <c r="L45" i="4" s="1"/>
  <c r="E39" i="6"/>
  <c r="K75" i="4"/>
  <c r="E69" i="6"/>
  <c r="K78" i="4"/>
  <c r="L78" i="4" s="1"/>
  <c r="E72" i="6"/>
  <c r="K81" i="4"/>
  <c r="L81" i="4" s="1"/>
  <c r="E75" i="6"/>
  <c r="K84" i="4"/>
  <c r="L84" i="4" s="1"/>
  <c r="E78" i="6"/>
  <c r="H85" i="4"/>
  <c r="I85" i="4" s="1"/>
  <c r="D85" i="4"/>
  <c r="R19" i="1"/>
  <c r="R14" i="1"/>
  <c r="I62" i="4"/>
  <c r="I13" i="4"/>
  <c r="I25" i="4"/>
  <c r="K48" i="4" l="1"/>
  <c r="L48" i="4" s="1"/>
  <c r="E42" i="6"/>
  <c r="L39" i="4"/>
  <c r="H39" i="4"/>
  <c r="E37" i="4"/>
  <c r="K42" i="4"/>
  <c r="L42" i="4" s="1"/>
  <c r="E36" i="6"/>
  <c r="K47" i="4"/>
  <c r="L47" i="4" s="1"/>
  <c r="E41" i="6"/>
  <c r="L75" i="4"/>
  <c r="D44" i="4"/>
  <c r="H44" i="4"/>
  <c r="I44" i="4" s="1"/>
  <c r="I75" i="4"/>
  <c r="D45" i="4"/>
  <c r="H45" i="4"/>
  <c r="I45" i="4" s="1"/>
  <c r="D41" i="4"/>
  <c r="D43" i="4"/>
  <c r="D39" i="4"/>
  <c r="D40" i="4"/>
  <c r="L63" i="4"/>
  <c r="R34" i="7"/>
  <c r="R13" i="7" s="1"/>
  <c r="D42" i="4"/>
  <c r="D38" i="4"/>
  <c r="L16" i="4"/>
  <c r="L94" i="4" s="1"/>
  <c r="I39" i="4" l="1"/>
  <c r="I16" i="4" s="1"/>
  <c r="I94" i="4" s="1"/>
  <c r="I12" i="8"/>
  <c r="H12" i="8"/>
  <c r="H27" i="8" l="1"/>
  <c r="I27" i="8" s="1"/>
  <c r="H25" i="8"/>
  <c r="H28" i="8"/>
  <c r="I28" i="8" s="1"/>
  <c r="H26" i="8"/>
  <c r="I26" i="8" s="1"/>
  <c r="H36" i="8"/>
  <c r="I36" i="8" s="1"/>
  <c r="H37" i="8"/>
  <c r="I37" i="8" s="1"/>
  <c r="H13" i="8"/>
  <c r="I13" i="8" s="1"/>
  <c r="H30" i="8"/>
  <c r="H33" i="8"/>
  <c r="I33" i="8" s="1"/>
  <c r="H35" i="8"/>
  <c r="H31" i="8"/>
  <c r="I31" i="8" s="1"/>
  <c r="H38" i="8"/>
  <c r="I38" i="8" s="1"/>
  <c r="H32" i="8"/>
  <c r="I32" i="8" s="1"/>
  <c r="I25" i="8" l="1"/>
  <c r="H24" i="8"/>
  <c r="H34" i="8"/>
  <c r="I35" i="8"/>
  <c r="I34" i="8" s="1"/>
  <c r="I30" i="8"/>
  <c r="I29" i="8" s="1"/>
  <c r="H29" i="8"/>
  <c r="H39" i="8" l="1"/>
  <c r="I39" i="8"/>
  <c r="N35" i="7"/>
  <c r="O35" i="7" s="1"/>
  <c r="O34" i="7" s="1"/>
  <c r="N41" i="7"/>
  <c r="O41" i="7" s="1"/>
  <c r="N40" i="7"/>
  <c r="O40" i="7" s="1"/>
  <c r="N39" i="7"/>
  <c r="O39" i="7" s="1"/>
  <c r="N38" i="7"/>
  <c r="O38" i="7" s="1"/>
  <c r="N37" i="7"/>
  <c r="O37" i="7" s="1"/>
  <c r="N36" i="7"/>
  <c r="O36" i="7" s="1"/>
  <c r="N34" i="7" l="1"/>
  <c r="K34" i="7" l="1"/>
  <c r="J72" i="7"/>
  <c r="N72" i="7"/>
  <c r="O72" i="7" s="1"/>
  <c r="J78" i="7"/>
  <c r="J76" i="7"/>
  <c r="J77" i="7"/>
  <c r="J75" i="7"/>
  <c r="J74" i="7"/>
  <c r="N74" i="7"/>
  <c r="O74" i="7" s="1"/>
  <c r="N77" i="7"/>
  <c r="O77" i="7" s="1"/>
  <c r="N75" i="7"/>
  <c r="O75" i="7" s="1"/>
  <c r="N73" i="7"/>
  <c r="J73" i="7"/>
  <c r="N78" i="7"/>
  <c r="O78" i="7" s="1"/>
  <c r="N76" i="7"/>
  <c r="O76" i="7" s="1"/>
  <c r="J110" i="7"/>
  <c r="J148" i="7"/>
  <c r="J150" i="7"/>
  <c r="N116" i="7"/>
  <c r="O116" i="7" s="1"/>
  <c r="J111" i="7"/>
  <c r="N111" i="7"/>
  <c r="O111" i="7" s="1"/>
  <c r="J149" i="7"/>
  <c r="N113" i="7"/>
  <c r="O113" i="7" s="1"/>
  <c r="J152" i="7"/>
  <c r="N152" i="7"/>
  <c r="O152" i="7" s="1"/>
  <c r="J153" i="7"/>
  <c r="N110" i="7"/>
  <c r="O110" i="7" s="1"/>
  <c r="N151" i="7"/>
  <c r="O151" i="7" s="1"/>
  <c r="J151" i="7"/>
  <c r="J147" i="7"/>
  <c r="N147" i="7"/>
  <c r="N112" i="7"/>
  <c r="O112" i="7" s="1"/>
  <c r="N149" i="7"/>
  <c r="O149" i="7" s="1"/>
  <c r="N148" i="7"/>
  <c r="O148" i="7" s="1"/>
  <c r="N150" i="7"/>
  <c r="O150" i="7" s="1"/>
  <c r="N153" i="7"/>
  <c r="O153" i="7" s="1"/>
  <c r="N115" i="7"/>
  <c r="O115" i="7" s="1"/>
  <c r="N114" i="7"/>
  <c r="N71" i="7" l="1"/>
  <c r="K71" i="7" s="1"/>
  <c r="O73" i="7"/>
  <c r="O71" i="7"/>
  <c r="O13" i="7" s="1"/>
  <c r="N109" i="7"/>
  <c r="O114" i="7"/>
  <c r="O109" i="7"/>
  <c r="O88" i="7" s="1"/>
  <c r="N146" i="7"/>
  <c r="K146" i="7" s="1"/>
  <c r="O147" i="7"/>
  <c r="O146" i="7" s="1"/>
  <c r="K109" i="7"/>
  <c r="O163" i="7" l="1"/>
</calcChain>
</file>

<file path=xl/comments1.xml><?xml version="1.0" encoding="utf-8"?>
<comments xmlns="http://schemas.openxmlformats.org/spreadsheetml/2006/main">
  <authors>
    <author>Овчинникова Алина Сергеевна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– для пунктов 1, 2.3 – 2.5, 2.3.КС – 2.5.КС;
длина – для пунктов 2.1–2.2 и 2.1.КС–2.2.КС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– присоединенная мощность указывается для пунктов 1, 2.1-2.3 и 2.1.КС-2.3.КС;
номинальная – для пунктов 2.4 и 2.4.КС
– без учета ранее присоединенной (должна быть равна значению, приведенному на вкладке "Реестр договоров ТП"</t>
        </r>
      </text>
    </comment>
  </commentList>
</comments>
</file>

<file path=xl/comments2.xml><?xml version="1.0" encoding="utf-8"?>
<comments xmlns="http://schemas.openxmlformats.org/spreadsheetml/2006/main">
  <authors>
    <author>Нагих Алина Сергеевна</author>
    <author>Овчинникова Алина Сергеевна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– без учета ранее присоединенной (должна быть равна значению, приведенному на вкладке "Реестр договоров ТП", за 2016 год)</t>
        </r>
      </text>
    </comment>
    <comment ref="G10" authorId="1">
      <text>
        <r>
          <rPr>
            <b/>
            <sz val="9"/>
            <color indexed="81"/>
            <rFont val="Tahoma"/>
            <family val="2"/>
            <charset val="204"/>
          </rPr>
          <t>утвержденная агентством по конкретному меропрятию для данной ТСО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0" authorId="1">
      <text>
        <r>
          <rPr>
            <b/>
            <sz val="9"/>
            <color indexed="81"/>
            <rFont val="Tahoma"/>
            <family val="2"/>
            <charset val="204"/>
          </rPr>
          <t>утвержденные агентством на момент принятия постановления по выпадающим</t>
        </r>
      </text>
    </comment>
    <comment ref="K10" authorId="1">
      <text>
        <r>
          <rPr>
            <b/>
            <sz val="9"/>
            <color indexed="81"/>
            <rFont val="Tahoma"/>
            <family val="2"/>
            <charset val="204"/>
          </rPr>
          <t>– на основании фактических средних данных за 3 предыдущих года (при отуствии – за 2, года или за 1 год), но не ниже документально подтвержденного объема по заявкам на 2019;
расчет средних данных – вкладка "Факт ТП за 3 года", "Факт ПС за 3 года"</t>
        </r>
      </text>
    </comment>
    <comment ref="F30" authorId="0">
      <text>
        <r>
          <rPr>
            <sz val="9"/>
            <color indexed="81"/>
            <rFont val="Tahoma"/>
            <family val="2"/>
            <charset val="204"/>
          </rPr>
          <t>при указании длины кабельной линии, состоящей из 2 кабелей в траншее, необходимо указывать только длину кабельной трассы, т.к. в расчете предусмотрены ставки, умноженные на 2</t>
        </r>
      </text>
    </comment>
    <comment ref="F92" authorId="1">
      <text>
        <r>
          <rPr>
            <sz val="9"/>
            <color indexed="81"/>
            <rFont val="Tahoma"/>
            <family val="2"/>
            <charset val="204"/>
          </rPr>
          <t>утвержденная стоимость льготного ТП, не превышающая 550 руб.</t>
        </r>
      </text>
    </comment>
  </commentList>
</comments>
</file>

<file path=xl/comments3.xml><?xml version="1.0" encoding="utf-8"?>
<comments xmlns="http://schemas.openxmlformats.org/spreadsheetml/2006/main">
  <authors>
    <author>Нагих Алина Сергеевна</author>
    <author>Овчинникова Алина Сергеевна</author>
  </authors>
  <commentList>
    <comment ref="Q5" authorId="0">
      <text>
        <r>
          <rPr>
            <b/>
            <sz val="9"/>
            <color indexed="81"/>
            <rFont val="Tahoma"/>
            <family val="2"/>
            <charset val="204"/>
          </rPr>
          <t>прогнозная величина платы за ТП, определенная на основе фактических данных о заявителях, обратившихся за рассрочкой за последний год, но не ниже документально подтвержденных данных о заявителях, обратившихся за рассрочкой на следующий период регулирования</t>
        </r>
      </text>
    </comment>
    <comment ref="I15" authorId="1">
      <text>
        <r>
          <rPr>
            <sz val="9"/>
            <color indexed="81"/>
            <rFont val="Tahoma"/>
            <family val="2"/>
            <charset val="204"/>
          </rPr>
          <t xml:space="preserve">значение ставки рефинансирования ЦБ РФ от 15.09.17 (8,5 %) + 2 п.п.
</t>
        </r>
      </text>
    </comment>
  </commentList>
</comments>
</file>

<file path=xl/comments4.xml><?xml version="1.0" encoding="utf-8"?>
<comments xmlns="http://schemas.openxmlformats.org/spreadsheetml/2006/main">
  <authors>
    <author>Нагих Алина Сергеевна</author>
    <author>Овчинникова Алина Сергеевна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– без учета ранее присоединенной (должна быть равна значению, приведенному на вкладке "Реестр договоров ТП", за 2016 год)</t>
        </r>
      </text>
    </comment>
    <comment ref="G10" authorId="1">
      <text>
        <r>
          <rPr>
            <b/>
            <sz val="9"/>
            <color indexed="81"/>
            <rFont val="Tahoma"/>
            <family val="2"/>
            <charset val="204"/>
          </rPr>
          <t>утвержденная агентством по конкретному меропрятию для данной ТСО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утвержденная агентством по конкретному меропрятию для данной ТСО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утвержденные агентством на момент принятия постановления по выпадающим
</t>
        </r>
      </text>
    </comment>
    <comment ref="Q10" authorId="1">
      <text>
        <r>
          <rPr>
            <b/>
            <sz val="9"/>
            <color indexed="81"/>
            <rFont val="Tahoma"/>
            <family val="2"/>
            <charset val="204"/>
          </rPr>
          <t>на основании фактических средних данных за 3 предыдущих года (при отуствии – за 2, года или за 1 год), но не ниже документально подтвержденного объема по заявкам на 2019;
расчет средних данных – вкладка "Факт ТП за 3 года", "Факт ПС за 3 года"</t>
        </r>
      </text>
    </comment>
  </commentList>
</comments>
</file>

<file path=xl/comments5.xml><?xml version="1.0" encoding="utf-8"?>
<comments xmlns="http://schemas.openxmlformats.org/spreadsheetml/2006/main">
  <authors>
    <author>Нагих Алина Сергеевна</author>
  </authors>
  <commentList>
    <comment ref="L6" authorId="0">
      <text>
        <r>
          <rPr>
            <b/>
            <sz val="9"/>
            <color indexed="81"/>
            <rFont val="Tahoma"/>
            <charset val="1"/>
          </rPr>
          <t>сведения о фактической стоимости нового строительства в целях технологического присоединения должны быть согласованы с перечнем объектов, представляемым в рамках расчета единых стандартизированных ставок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это всего лишь пример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04"/>
          </rPr>
          <t>это всего лишь пример</t>
        </r>
      </text>
    </comment>
  </commentList>
</comments>
</file>

<file path=xl/comments6.xml><?xml version="1.0" encoding="utf-8"?>
<comments xmlns="http://schemas.openxmlformats.org/spreadsheetml/2006/main">
  <authors>
    <author>Нагих Алина Сергеевна</author>
  </authors>
  <commentList>
    <comment ref="L8" authorId="0">
      <text>
        <r>
          <rPr>
            <b/>
            <sz val="9"/>
            <color indexed="81"/>
            <rFont val="Tahoma"/>
            <family val="2"/>
            <charset val="204"/>
          </rPr>
          <t>при добавлении новых строк необходимо копировать форматирование ячейки со списком; в случае необходимости – дополнить список новым видом ТП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это всего лишь пример</t>
        </r>
      </text>
    </comment>
  </commentList>
</comments>
</file>

<file path=xl/sharedStrings.xml><?xml version="1.0" encoding="utf-8"?>
<sst xmlns="http://schemas.openxmlformats.org/spreadsheetml/2006/main" count="844" uniqueCount="253">
  <si>
    <t>наименование ТСО</t>
  </si>
  <si>
    <t xml:space="preserve">*
</t>
  </si>
  <si>
    <t>№
п/п</t>
  </si>
  <si>
    <t>Наименование мероприятий</t>
  </si>
  <si>
    <t>1.</t>
  </si>
  <si>
    <t>2.</t>
  </si>
  <si>
    <t>исп.</t>
  </si>
  <si>
    <t>Ф.И.О., должность</t>
  </si>
  <si>
    <t>тел., e-mail</t>
  </si>
  <si>
    <t>не включаемых состав  платы за технологическое присоединение</t>
  </si>
  <si>
    <t>ставка платы</t>
  </si>
  <si>
    <t>(руб/кВт, руб./км)</t>
  </si>
  <si>
    <t>мощность, длина линии</t>
  </si>
  <si>
    <t>(кВт, км)</t>
  </si>
  <si>
    <t>(тыс.руб.)</t>
  </si>
  <si>
    <t>Приложение № 1</t>
  </si>
  <si>
    <t>стандарт, тариф, ставка</t>
  </si>
  <si>
    <t xml:space="preserve">сумма </t>
  </si>
  <si>
    <t>сумма (в соответствии с актами выполненных работ)</t>
  </si>
  <si>
    <t>3.</t>
  </si>
  <si>
    <t>4.</t>
  </si>
  <si>
    <t>Расходы на выполнение организационно-технических мероприятий, связанные с осуществлением технологического присоединения</t>
  </si>
  <si>
    <t>1.1.</t>
  </si>
  <si>
    <t>1.2.</t>
  </si>
  <si>
    <t>1.3.</t>
  </si>
  <si>
    <t>1.4.</t>
  </si>
  <si>
    <t>Расходы по мероприятиям "последней мили", связанные с осуществлением технологического присоединения</t>
  </si>
  <si>
    <t>2.1.</t>
  </si>
  <si>
    <t>строительство воздушных линий</t>
  </si>
  <si>
    <t>2.2.</t>
  </si>
  <si>
    <t>строительство кабельных линий</t>
  </si>
  <si>
    <t>2.3.</t>
  </si>
  <si>
    <t>2.4.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</si>
  <si>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</si>
  <si>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2.5.</t>
  </si>
  <si>
    <t>строительство центров питания, подстанций уровнем напряжения 35 кВ и выше (ПС)</t>
  </si>
  <si>
    <t xml:space="preserve">Суммарный размер платы за технологическое присоединение </t>
  </si>
  <si>
    <t>3.1.</t>
  </si>
  <si>
    <t>Размер платы за технологическое присоединение (руб. без НДС)</t>
  </si>
  <si>
    <t>3.2.</t>
  </si>
  <si>
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</t>
  </si>
  <si>
    <t>подготовка и выдача сетевой организацией технических условий (ТУ) Заявителю</t>
  </si>
  <si>
    <t xml:space="preserve">Расчет размера расходов, связанных с осуществлением технологического присоединения энергопринимающих устройств  максимальной мощностью, не превышающей 15 кВт включительно, </t>
  </si>
  <si>
    <t>районы, приравненные к районам КС:</t>
  </si>
  <si>
    <t>строительство пунктов секционирования</t>
  </si>
  <si>
    <t>КТП- 100 кВА</t>
  </si>
  <si>
    <t xml:space="preserve">КТП- 160 кВА </t>
  </si>
  <si>
    <t>КТП- 250 кВА</t>
  </si>
  <si>
    <t>районы КС:</t>
  </si>
  <si>
    <t>2.1.КС</t>
  </si>
  <si>
    <t>2.2.КС</t>
  </si>
  <si>
    <t>2.3.КС</t>
  </si>
  <si>
    <t>2.4.КС</t>
  </si>
  <si>
    <t>2.5.КС</t>
  </si>
  <si>
    <t>КТП- 63 кВА</t>
  </si>
  <si>
    <t>КТП- 25 кВА</t>
  </si>
  <si>
    <t>КТП- 40 кВА</t>
  </si>
  <si>
    <t>КТП- 400 кВА</t>
  </si>
  <si>
    <t>КТП- 630 кВА</t>
  </si>
  <si>
    <t>КТП-1000 кВА</t>
  </si>
  <si>
    <t>БКТП- 160 кВА</t>
  </si>
  <si>
    <t>БКТП- 2х160 кВА</t>
  </si>
  <si>
    <t>БКТП-160 кВА</t>
  </si>
  <si>
    <t>БКТП-2х160 кВА</t>
  </si>
  <si>
    <t>мощность</t>
  </si>
  <si>
    <t>кВт</t>
  </si>
  <si>
    <t>кВА</t>
  </si>
  <si>
    <t>количество</t>
  </si>
  <si>
    <t>шт.</t>
  </si>
  <si>
    <t>максимальная мощность до 15 кВт ("льготное" ТП)</t>
  </si>
  <si>
    <t>Вид строительства</t>
  </si>
  <si>
    <t>Инд</t>
  </si>
  <si>
    <t>ВЛ</t>
  </si>
  <si>
    <t>КЛ</t>
  </si>
  <si>
    <t>Прочие</t>
  </si>
  <si>
    <t>Кнр</t>
  </si>
  <si>
    <t>Кнр(КС)</t>
  </si>
  <si>
    <t>Инд(КС)</t>
  </si>
  <si>
    <t>БКТП-2х250 кВА</t>
  </si>
  <si>
    <t>БКТП-2х400 кВА</t>
  </si>
  <si>
    <t>БКТП-2х630 кВА</t>
  </si>
  <si>
    <t>БКТП-2х1000 кВА</t>
  </si>
  <si>
    <t>Информация о фактических данных о присоединённых объёмах максимальной мощности, длине линий, объёмах максимальной мощности построенных объектов</t>
  </si>
  <si>
    <t>Наименование мероприятия</t>
  </si>
  <si>
    <t>Строительство объектов "последней мили"</t>
  </si>
  <si>
    <t>Присоединенная (номинальная) максимальная мощность, кВт</t>
  </si>
  <si>
    <t>льготное ТП до 15 кВт (3 кат.)</t>
  </si>
  <si>
    <t>Среднее за 3 года</t>
  </si>
  <si>
    <t>Всего договоров об осуществлении ТП</t>
  </si>
  <si>
    <t>Количество, шт. / Длина, км</t>
  </si>
  <si>
    <t>№</t>
  </si>
  <si>
    <t>Расчет размера расходов, связанных с осуществлением технологического присоединения энергопринимающих устройств  максимальной мощностью до 150 кВт включительно,</t>
  </si>
  <si>
    <t>1.5.</t>
  </si>
  <si>
    <t>1.1.КС</t>
  </si>
  <si>
    <t>1.2.КС</t>
  </si>
  <si>
    <t>1.3.КС</t>
  </si>
  <si>
    <t>1.4.КС</t>
  </si>
  <si>
    <t>1.5.КС</t>
  </si>
  <si>
    <t>Расчет размера расходов, связанных с предоставлением беспроцентной рассрочкой платежей по оплате технологического присоединения энергопринимающих устройств максимальной мощностью свыше 15 и до 150 кВт</t>
  </si>
  <si>
    <t xml:space="preserve">№ п/п </t>
  </si>
  <si>
    <t>Фактически заключенные договора 
(дата и номер)</t>
  </si>
  <si>
    <t>Сумма по договору/
суммарный размер платы за ТП</t>
  </si>
  <si>
    <t>1 квартал</t>
  </si>
  <si>
    <t>2 квартал</t>
  </si>
  <si>
    <t>3 квартал</t>
  </si>
  <si>
    <t>4 квартал</t>
  </si>
  <si>
    <t>ВСЕГО</t>
  </si>
  <si>
    <t>тыс.руб.</t>
  </si>
  <si>
    <t>Суммарный размер платы за технологическое присоединение, тыс.руб., в т.ч.:</t>
  </si>
  <si>
    <t>Суммарный размер платы за технологическое присоединение, подлежащий беспроцентной рассрочке</t>
  </si>
  <si>
    <t xml:space="preserve">№ п/п    </t>
  </si>
  <si>
    <t>Квартал, на который рассчитывается размер расходов, связанных с предоставлением беспроцентной рассрочки</t>
  </si>
  <si>
    <t>Расходы, связанные с предоставлением беспроцентной рассрочки, тыс. руб.</t>
  </si>
  <si>
    <t xml:space="preserve">в отношении суммарного размера платы за технологическое присоединение в 1 квартале </t>
  </si>
  <si>
    <t xml:space="preserve">в отношении суммарного размера платы за технологическое присоединение в 3 квартале </t>
  </si>
  <si>
    <t xml:space="preserve">в отношении суммарного размера платы за технологическое присоединение в 4 квартале </t>
  </si>
  <si>
    <t>всего в год</t>
  </si>
  <si>
    <t>5 квартал</t>
  </si>
  <si>
    <t>6 квартал</t>
  </si>
  <si>
    <t>7 квартал</t>
  </si>
  <si>
    <t>8 квартал</t>
  </si>
  <si>
    <t>9 квартал</t>
  </si>
  <si>
    <t>10 квартал</t>
  </si>
  <si>
    <t>3.3.</t>
  </si>
  <si>
    <t>11 квартал</t>
  </si>
  <si>
    <t>3.4.</t>
  </si>
  <si>
    <t>12 квартал</t>
  </si>
  <si>
    <t>4.1.</t>
  </si>
  <si>
    <t>13 квартал</t>
  </si>
  <si>
    <t>4.2.</t>
  </si>
  <si>
    <t>14 квартал</t>
  </si>
  <si>
    <t>4.3.</t>
  </si>
  <si>
    <t>15 квартал</t>
  </si>
  <si>
    <t>4.4.</t>
  </si>
  <si>
    <t>16 квартал</t>
  </si>
  <si>
    <t>5.</t>
  </si>
  <si>
    <t>ИТОГО</t>
  </si>
  <si>
    <t>Заявитель</t>
  </si>
  <si>
    <t>№ и дата договора</t>
  </si>
  <si>
    <t>1 кв.</t>
  </si>
  <si>
    <t>2 кв.</t>
  </si>
  <si>
    <t>3 кв.</t>
  </si>
  <si>
    <t>4 кв.</t>
  </si>
  <si>
    <t>...</t>
  </si>
  <si>
    <t>№ п/п</t>
  </si>
  <si>
    <t>Договор ТП</t>
  </si>
  <si>
    <t>Наименование заявителя</t>
  </si>
  <si>
    <t>Новая/дополнительная присоединяемая мощность, кВт</t>
  </si>
  <si>
    <t>Затраты, относимые на себестоимость (согласно регистру бух.отчетности), руб.</t>
  </si>
  <si>
    <t>Номер и дата акта ТП</t>
  </si>
  <si>
    <t>Дата (дд.мм.гг.)</t>
  </si>
  <si>
    <t>максимальная</t>
  </si>
  <si>
    <t>вновь присоединяемая</t>
  </si>
  <si>
    <t xml:space="preserve"> </t>
  </si>
  <si>
    <t>Итого 2015 год</t>
  </si>
  <si>
    <t>постоянная</t>
  </si>
  <si>
    <t>ООО "Холмогоры"</t>
  </si>
  <si>
    <t>…</t>
  </si>
  <si>
    <t>Итого 2016 год</t>
  </si>
  <si>
    <t>Схема электро-снабжения (список)</t>
  </si>
  <si>
    <t>ТП</t>
  </si>
  <si>
    <t>пункты секционирования</t>
  </si>
  <si>
    <t>Всего, в т.ч.:</t>
  </si>
  <si>
    <t>мер-я, предусм.                   пп "а", "г", "д", "е" п. 16 МУ № 209-э/1</t>
  </si>
  <si>
    <t>Наименование заявителя (ЮЛ) / ФИО (ФЛ)</t>
  </si>
  <si>
    <t>Итого по льготному ТП до 15 кВ, 3 кат.</t>
  </si>
  <si>
    <t>Итого по льготному ТП до 150 кВ (за исключением до 15 кВ, 3 кат.)</t>
  </si>
  <si>
    <t>Строительство объектов электросетевого хозяйства</t>
  </si>
  <si>
    <t>ВЛ, км</t>
  </si>
  <si>
    <t>0,4 кВ</t>
  </si>
  <si>
    <t>6-10 кВ</t>
  </si>
  <si>
    <t>КЛ, км</t>
  </si>
  <si>
    <t>вид</t>
  </si>
  <si>
    <t>пункты секционирования, шт.</t>
  </si>
  <si>
    <t>КТП-160</t>
  </si>
  <si>
    <t xml:space="preserve">в отношении суммарного размера платы за технологическое присоединение во 2 квартале </t>
  </si>
  <si>
    <t>Наименование и местоположение присоединяемого объекта</t>
  </si>
  <si>
    <t>Складское помещение, с. Холмогоры, ул. Галушина, д. 2</t>
  </si>
  <si>
    <t>Присоединяемая мощность, кВт</t>
  </si>
  <si>
    <t>Укрупненный перечень объектов строительства</t>
  </si>
  <si>
    <t>Реестр исполненных договоров об осуществлении льготного технологического присоединения к электрическим сетям</t>
  </si>
  <si>
    <t>Категория энергопринимающих устройств (список)</t>
  </si>
  <si>
    <t>ВЛ 6 кВ ПС № 11 - ТП №9, монтаж ячейки КСО в ТП №9</t>
  </si>
  <si>
    <t>без учета ранее присоединенной</t>
  </si>
  <si>
    <t>! В ячейки, по которым нет данных, необходимо поставить "0".</t>
  </si>
  <si>
    <r>
      <t>Фактические данные за предыдущий период регулирования (</t>
    </r>
    <r>
      <rPr>
        <b/>
        <sz val="9"/>
        <color theme="1"/>
        <rFont val="Arial"/>
        <family val="2"/>
        <charset val="204"/>
      </rPr>
      <t>2017 год</t>
    </r>
    <r>
      <rPr>
        <sz val="9"/>
        <color theme="1"/>
        <rFont val="Arial"/>
        <family val="2"/>
        <charset val="204"/>
      </rPr>
      <t>)</t>
    </r>
  </si>
  <si>
    <r>
      <t>Расчетные (фактические) данные за предыдущий период регулирования (</t>
    </r>
    <r>
      <rPr>
        <b/>
        <sz val="9"/>
        <color theme="1"/>
        <rFont val="Arial"/>
        <family val="2"/>
        <charset val="204"/>
      </rPr>
      <t>2017 год</t>
    </r>
    <r>
      <rPr>
        <sz val="9"/>
        <color theme="1"/>
        <rFont val="Arial"/>
        <family val="2"/>
        <charset val="204"/>
      </rPr>
      <t>)</t>
    </r>
  </si>
  <si>
    <r>
      <t>Плановые показатели на следующий период регулирования (</t>
    </r>
    <r>
      <rPr>
        <b/>
        <sz val="9"/>
        <color theme="1"/>
        <rFont val="Arial"/>
        <family val="2"/>
        <charset val="204"/>
      </rPr>
      <t>2019 год</t>
    </r>
    <r>
      <rPr>
        <sz val="9"/>
        <color theme="1"/>
        <rFont val="Arial"/>
        <family val="2"/>
        <charset val="204"/>
      </rPr>
      <t>)</t>
    </r>
  </si>
  <si>
    <t>проверка сетевой организацией выполнения Заявителем ТУ (с учетом подпунктов "г"-"е" пункта 19 методических указаний)</t>
  </si>
  <si>
    <t>ср. по 2017</t>
  </si>
  <si>
    <t>0,4 кВ, до 25 кв.мм включительно</t>
  </si>
  <si>
    <t>0,4 кВ, 25-50 кв.мм включительно</t>
  </si>
  <si>
    <t>0,4 кВ, 50-75 кв.мм включительно</t>
  </si>
  <si>
    <t>0,4 кВ, свыше 75 кв.мм</t>
  </si>
  <si>
    <t>10(6) кВ, до 50 кв. мм включительно</t>
  </si>
  <si>
    <t>10(6) кВ, свыше 50 кв. мм</t>
  </si>
  <si>
    <t>0,4 кВ, до 75 кв.мм включительно, 1 кабель</t>
  </si>
  <si>
    <t>0,4 кВ, свыше 75 кв.мм, 1 кабель</t>
  </si>
  <si>
    <t>10(6) кВ, до 75 кв. мм включительно, 1 кабель</t>
  </si>
  <si>
    <t>10(6) кВ, свыше 75 кв. мм, 1 кабель</t>
  </si>
  <si>
    <t>0,4 кВ, до 75 кв.мм включительно, 2 кабеля</t>
  </si>
  <si>
    <t>0,4 кВ, свыше 75 кв.мм, 2 кабеля</t>
  </si>
  <si>
    <t>10(6) кВ, до 75 кв. мм включительно, 2 кабеля</t>
  </si>
  <si>
    <t>10(6) кВ, свыше 75 кв. мм, 2 кабеля</t>
  </si>
  <si>
    <t>клммутационное устройство 0,4-6(10) кВ</t>
  </si>
  <si>
    <t>распределительное устройство 10(6) кВ</t>
  </si>
  <si>
    <t>КТП-40 кВА</t>
  </si>
  <si>
    <t>КТП-400 кВА</t>
  </si>
  <si>
    <t>КТП-630 кВА</t>
  </si>
  <si>
    <t>БКТП- 2х250 кВА</t>
  </si>
  <si>
    <t>БКТП- 2х400 кВА</t>
  </si>
  <si>
    <t>БКТП- 2х630 кВА</t>
  </si>
  <si>
    <t>БКТП- 2х1000 кВА</t>
  </si>
  <si>
    <t>КТП до 25 кВА</t>
  </si>
  <si>
    <t>план 2019 (среднее значение за 3 года)</t>
  </si>
  <si>
    <t>льготное ТП до 150 кВт (за исключением до 15 кВт)</t>
  </si>
  <si>
    <r>
      <t xml:space="preserve">2017                                           (для ЛТП до 150 кВт – </t>
    </r>
    <r>
      <rPr>
        <sz val="8"/>
        <color rgb="FFFF0000"/>
        <rFont val="Arial"/>
        <family val="2"/>
        <charset val="204"/>
      </rPr>
      <t>до 30.09!!!</t>
    </r>
    <r>
      <rPr>
        <sz val="8"/>
        <rFont val="Arial"/>
        <family val="2"/>
        <charset val="204"/>
      </rPr>
      <t>)</t>
    </r>
  </si>
  <si>
    <r>
      <t xml:space="preserve">2017 </t>
    </r>
    <r>
      <rPr>
        <sz val="9"/>
        <color rgb="FFFF0000"/>
        <rFont val="Arial"/>
        <family val="2"/>
        <charset val="204"/>
      </rPr>
      <t xml:space="preserve">                                                       </t>
    </r>
    <r>
      <rPr>
        <sz val="9"/>
        <rFont val="Arial"/>
        <family val="2"/>
        <charset val="204"/>
      </rPr>
      <t>(для ЛТП до 150 кВт –</t>
    </r>
    <r>
      <rPr>
        <sz val="9"/>
        <color rgb="FFFF0000"/>
        <rFont val="Arial"/>
        <family val="2"/>
        <charset val="204"/>
      </rPr>
      <t xml:space="preserve"> до 30.09!!!</t>
    </r>
    <r>
      <rPr>
        <sz val="9"/>
        <rFont val="Arial"/>
        <family val="2"/>
        <charset val="204"/>
      </rPr>
      <t>)</t>
    </r>
  </si>
  <si>
    <r>
      <t xml:space="preserve">2017 </t>
    </r>
    <r>
      <rPr>
        <sz val="9"/>
        <color rgb="FFFF0000"/>
        <rFont val="Arial"/>
        <family val="2"/>
        <charset val="204"/>
      </rPr>
      <t xml:space="preserve">                                                       </t>
    </r>
    <r>
      <rPr>
        <sz val="9"/>
        <rFont val="Arial"/>
        <family val="2"/>
        <charset val="204"/>
      </rPr>
      <t>(для ЛТП до 150 кВт –</t>
    </r>
    <r>
      <rPr>
        <sz val="9"/>
        <color rgb="FFFF0000"/>
        <rFont val="Arial"/>
        <family val="2"/>
        <charset val="204"/>
      </rPr>
      <t xml:space="preserve"> с 01.10!!!</t>
    </r>
    <r>
      <rPr>
        <sz val="9"/>
        <rFont val="Arial"/>
        <family val="2"/>
        <charset val="204"/>
      </rPr>
      <t>)</t>
    </r>
  </si>
  <si>
    <r>
      <t>Фактические данные за предыдущий период регулирования (</t>
    </r>
    <r>
      <rPr>
        <b/>
        <sz val="9"/>
        <color theme="1"/>
        <rFont val="Arial"/>
        <family val="2"/>
        <charset val="204"/>
      </rPr>
      <t xml:space="preserve">2017 </t>
    </r>
    <r>
      <rPr>
        <b/>
        <sz val="9"/>
        <color rgb="FFFF0000"/>
        <rFont val="Arial"/>
        <family val="2"/>
        <charset val="204"/>
      </rPr>
      <t>до 30.09</t>
    </r>
    <r>
      <rPr>
        <sz val="9"/>
        <color theme="1"/>
        <rFont val="Arial"/>
        <family val="2"/>
        <charset val="204"/>
      </rPr>
      <t>)</t>
    </r>
  </si>
  <si>
    <r>
      <t xml:space="preserve">Расчетные (фактические) данные за предыдущий период регулирования (2017 </t>
    </r>
    <r>
      <rPr>
        <sz val="9"/>
        <color rgb="FFFF0000"/>
        <rFont val="Arial"/>
        <family val="2"/>
        <charset val="204"/>
      </rPr>
      <t>до 30.09</t>
    </r>
    <r>
      <rPr>
        <sz val="9"/>
        <color theme="1"/>
        <rFont val="Arial"/>
        <family val="2"/>
        <charset val="204"/>
      </rPr>
      <t>)</t>
    </r>
  </si>
  <si>
    <r>
      <t>Фактические данные за предыдущий период регулирования (</t>
    </r>
    <r>
      <rPr>
        <b/>
        <sz val="9"/>
        <color theme="1"/>
        <rFont val="Arial"/>
        <family val="2"/>
        <charset val="204"/>
      </rPr>
      <t xml:space="preserve">2017 </t>
    </r>
    <r>
      <rPr>
        <b/>
        <sz val="9"/>
        <color rgb="FFFF0000"/>
        <rFont val="Arial"/>
        <family val="2"/>
        <charset val="204"/>
      </rPr>
      <t>с 01.10</t>
    </r>
    <r>
      <rPr>
        <sz val="9"/>
        <color theme="1"/>
        <rFont val="Arial"/>
        <family val="2"/>
        <charset val="204"/>
      </rPr>
      <t>)</t>
    </r>
  </si>
  <si>
    <r>
      <t xml:space="preserve">Расчетные (фактические) данные за предыдущий период регулирования (2017 </t>
    </r>
    <r>
      <rPr>
        <sz val="9"/>
        <color rgb="FFFF0000"/>
        <rFont val="Arial"/>
        <family val="2"/>
        <charset val="204"/>
      </rPr>
      <t>с  01.10</t>
    </r>
    <r>
      <rPr>
        <sz val="9"/>
        <color theme="1"/>
        <rFont val="Arial"/>
        <family val="2"/>
        <charset val="204"/>
      </rPr>
      <t>)</t>
    </r>
  </si>
  <si>
    <t xml:space="preserve">расходы на строительство объекта </t>
  </si>
  <si>
    <t>расходы на строительство объекта</t>
  </si>
  <si>
    <t xml:space="preserve"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п.9 Методических указаний по определению размера платы за технологическое присоединение, утвержденных приказом ФАС России от 29.08.2017 № 1135/17 (шт.) </t>
  </si>
  <si>
    <t xml:space="preserve">максимальная мощность до 150 кВт (исключая "льготное" ТП до 15 кВт) </t>
  </si>
  <si>
    <t>коммутационное устройство 0,4-6(10) кВ</t>
  </si>
  <si>
    <r>
      <t xml:space="preserve">2017                                            (для ЛТП до 150 кВт – </t>
    </r>
    <r>
      <rPr>
        <sz val="8"/>
        <color rgb="FFFF0000"/>
        <rFont val="Arial"/>
        <family val="2"/>
        <charset val="204"/>
      </rPr>
      <t>с 1.10!!!</t>
    </r>
    <r>
      <rPr>
        <sz val="8"/>
        <rFont val="Arial"/>
        <family val="2"/>
        <charset val="204"/>
      </rPr>
      <t>)</t>
    </r>
  </si>
  <si>
    <t>Итого 2017 год</t>
  </si>
  <si>
    <t>1-тп/2015</t>
  </si>
  <si>
    <t>1/2015 от 30.01.15</t>
  </si>
  <si>
    <t>ПРИМЕР</t>
  </si>
  <si>
    <t>за 2015-2017 гг</t>
  </si>
  <si>
    <t>ИТОГО до 15 кВт</t>
  </si>
  <si>
    <t>ИТОГО до 150 кВт</t>
  </si>
  <si>
    <t>до 15 кВт</t>
  </si>
  <si>
    <t>Реестр заявок на осуществление льготного технологического присоединения к электрическим сетям</t>
  </si>
  <si>
    <t>поданных на 2019 год</t>
  </si>
  <si>
    <t>Примечание                         (срок осуществления ТП по заявке)</t>
  </si>
  <si>
    <t>Дата заявки ТП</t>
  </si>
  <si>
    <t>Реквизиты заключенного договора ТП                   (№ и дата)</t>
  </si>
  <si>
    <t>1001-тп/2018 от 20.09.18</t>
  </si>
  <si>
    <t>подпись</t>
  </si>
  <si>
    <t>Фактические данные за 2017 год</t>
  </si>
  <si>
    <t>Ожидаемые данные за 2018 год</t>
  </si>
  <si>
    <t>Плановые показатели на 2019 год</t>
  </si>
  <si>
    <t>1 год (2017 г.):</t>
  </si>
  <si>
    <t>2 год (2018 г.):</t>
  </si>
  <si>
    <t>3 год (2019 г.):</t>
  </si>
  <si>
    <t>4 год (2020 г.):</t>
  </si>
  <si>
    <t>Примечание: Ставка рефинансирования ЦБ РФ равна ключевой ставке, которая составляет 7,25 % (решение ЦБР от 15.07.2018). В соответствии с п.87  Основ ценообразования в области регулируемых цен (тарифов) в электроэнергетике, утв. Постановлением Правительства от 29.12.2011 №1178, ставка рефинансирования увеличена на 2 процентных пункта и принята для расчёта в размере 9,25 %</t>
  </si>
  <si>
    <t>! В ячейках, по которым нет данных, должны стоять "0".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</si>
</sst>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0.0_)"/>
    <numFmt numFmtId="165" formatCode="&quot;error&quot;;&quot;error&quot;;&quot;OK&quot;;&quot;  &quot;@"/>
    <numFmt numFmtId="166" formatCode="_-* #,##0\ _р_._-;\-* #,##0\ _р_._-;_-* &quot;-&quot;\ _р_.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_);\(#,##0\);&quot;- &quot;;&quot;  &quot;@"/>
    <numFmt numFmtId="170" formatCode="General_)"/>
    <numFmt numFmtId="171" formatCode="_([$€-2]* #,##0.00_);_([$€-2]* \(#,##0.00\);_([$€-2]* &quot;-&quot;??_)"/>
    <numFmt numFmtId="172" formatCode="#,##0.0000_);\(#,##0.0000\);&quot;- &quot;;&quot;  &quot;@"/>
    <numFmt numFmtId="173" formatCode="_-* #,##0\ _d_._-;\-* #,##0\ _d_._-;_-* &quot;-&quot;\ _d_._-;_-@_-"/>
    <numFmt numFmtId="174" formatCode="_-* #,##0.00\ _d_._-;\-* #,##0.00\ _d_._-;_-* &quot;-&quot;??\ _d_._-;_-@_-"/>
    <numFmt numFmtId="175" formatCode="&quot;$&quot;#,##0_);[Red]\(&quot;$&quot;#,##0\)"/>
    <numFmt numFmtId="176" formatCode="&quot;$&quot;#,##0.00_);[Red]\(&quot;$&quot;#,##0.00\)"/>
    <numFmt numFmtId="177" formatCode=";;&quot;zero&quot;;&quot;  &quot;@"/>
    <numFmt numFmtId="178" formatCode="_-* #,##0.00&quot;р.&quot;_-;\-* #,##0.00&quot;р.&quot;_-;_-* &quot;-&quot;??&quot;р.&quot;_-;_-@_-"/>
    <numFmt numFmtId="179" formatCode="#,##0_);[Red]\(#,##0\)"/>
    <numFmt numFmtId="180" formatCode="_-* #,##0.00\ _р_._-;\-* #,##0.00\ _р_._-;_-* &quot;-&quot;??\ _р_._-;_-@_-"/>
    <numFmt numFmtId="181" formatCode="_-* #,##0.00_р_._-;\-* #,##0.00_р_._-;_-* &quot;-&quot;??_р_._-;_-@_-"/>
    <numFmt numFmtId="182" formatCode="#,##0.000"/>
    <numFmt numFmtId="183" formatCode="#,##0.0"/>
    <numFmt numFmtId="184" formatCode="0.0000"/>
    <numFmt numFmtId="185" formatCode="\$#,##0\ ;\(\$#,##0\)"/>
    <numFmt numFmtId="186" formatCode="_ * #,##0_ ;_ * \-#,##0_ ;_ * &quot;-&quot;_ ;_ @_ "/>
    <numFmt numFmtId="187" formatCode="_ * #,##0.00_ ;_ * \-#,##0.00_ ;_ * &quot;-&quot;??_ ;_ @_ "/>
    <numFmt numFmtId="188" formatCode="&quot;$&quot;#,##0"/>
    <numFmt numFmtId="189" formatCode="0.0"/>
    <numFmt numFmtId="190" formatCode="_-* #,##0.00_р_._-;\-* #,##0.00_р_._-;_-* \-??_р_._-;_-@_-"/>
    <numFmt numFmtId="191" formatCode="dd/mm/yy;@"/>
    <numFmt numFmtId="192" formatCode="[$-F800]dddd\,\ mmmm\ dd\,\ yyyy"/>
  </numFmts>
  <fonts count="1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name val="Times New Roman CYR"/>
      <charset val="204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Courier"/>
      <family val="3"/>
    </font>
    <font>
      <b/>
      <sz val="18"/>
      <color indexed="56"/>
      <name val="Cambria"/>
      <family val="2"/>
      <charset val="204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 Cyr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0"/>
      <name val="SvobodaFWF"/>
    </font>
    <font>
      <b/>
      <sz val="12"/>
      <name val="NTHelvetica/Cyrillic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 Cyr"/>
      <family val="2"/>
      <charset val="204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 CYR"/>
      <family val="2"/>
      <charset val="204"/>
    </font>
    <font>
      <sz val="19"/>
      <color indexed="48"/>
      <name val="Arial"/>
      <family val="2"/>
      <charset val="204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NTHelvetica/Cyrillic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9"/>
      <name val="Tahoma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color indexed="60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indexed="81"/>
      <name val="Tahoma"/>
      <charset val="1"/>
    </font>
    <font>
      <sz val="9"/>
      <color theme="0" tint="-0.249977111117893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i/>
      <sz val="9"/>
      <name val="HelvDL"/>
    </font>
    <font>
      <sz val="9"/>
      <name val="HelvDL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lightGray">
        <fgColor indexed="8"/>
        <bgColor indexed="11"/>
      </patternFill>
    </fill>
    <fill>
      <patternFill patternType="lightGray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3">
    <xf numFmtId="0" fontId="0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10" fillId="0" borderId="0">
      <alignment horizontal="left"/>
    </xf>
    <xf numFmtId="0" fontId="11" fillId="4" borderId="0" applyNumberFormat="0" applyBorder="0" applyAlignment="0" applyProtection="0"/>
    <xf numFmtId="0" fontId="12" fillId="21" borderId="2" applyNumberFormat="0" applyAlignment="0" applyProtection="0"/>
    <xf numFmtId="165" fontId="13" fillId="0" borderId="0" applyFont="0" applyFill="0" applyBorder="0" applyAlignment="0" applyProtection="0"/>
    <xf numFmtId="0" fontId="14" fillId="22" borderId="3" applyNumberFormat="0" applyAlignment="0" applyProtection="0"/>
    <xf numFmtId="166" fontId="15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7" fillId="0" borderId="0" applyFont="0" applyFill="0" applyBorder="0" applyAlignment="0" applyProtection="0"/>
    <xf numFmtId="169" fontId="18" fillId="23" borderId="0" applyNumberFormat="0" applyBorder="0" applyAlignment="0" applyProtection="0"/>
    <xf numFmtId="170" fontId="19" fillId="0" borderId="0">
      <alignment horizontal="center"/>
    </xf>
    <xf numFmtId="38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169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38" fontId="24" fillId="24" borderId="0" applyNumberFormat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0" fillId="8" borderId="2" applyNumberFormat="0" applyAlignment="0" applyProtection="0"/>
    <xf numFmtId="10" fontId="24" fillId="25" borderId="1" applyNumberFormat="0" applyBorder="0" applyAlignment="0" applyProtection="0"/>
    <xf numFmtId="0" fontId="31" fillId="0" borderId="9" applyNumberFormat="0" applyFill="0" applyAlignment="0" applyProtection="0"/>
    <xf numFmtId="0" fontId="32" fillId="26" borderId="0" applyNumberFormat="0" applyBorder="0" applyAlignment="0" applyProtection="0"/>
    <xf numFmtId="0" fontId="7" fillId="0" borderId="10"/>
    <xf numFmtId="0" fontId="16" fillId="0" borderId="0"/>
    <xf numFmtId="0" fontId="16" fillId="0" borderId="0"/>
    <xf numFmtId="0" fontId="33" fillId="0" borderId="0"/>
    <xf numFmtId="0" fontId="34" fillId="0" borderId="0"/>
    <xf numFmtId="0" fontId="4" fillId="0" borderId="0"/>
    <xf numFmtId="0" fontId="2" fillId="27" borderId="11" applyNumberFormat="0" applyFont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6" fillId="21" borderId="12" applyNumberFormat="0" applyAlignment="0" applyProtection="0"/>
    <xf numFmtId="10" fontId="16" fillId="0" borderId="0" applyFont="0" applyFill="0" applyBorder="0" applyAlignment="0" applyProtection="0"/>
    <xf numFmtId="0" fontId="37" fillId="0" borderId="0">
      <alignment horizontal="right" vertical="top"/>
    </xf>
    <xf numFmtId="0" fontId="38" fillId="0" borderId="0"/>
    <xf numFmtId="0" fontId="39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11" borderId="0" applyNumberFormat="0" applyBorder="0" applyAlignment="0" applyProtection="0"/>
    <xf numFmtId="177" fontId="13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0" fontId="6" fillId="0" borderId="14">
      <protection locked="0"/>
    </xf>
    <xf numFmtId="0" fontId="30" fillId="8" borderId="2" applyNumberFormat="0" applyAlignment="0" applyProtection="0"/>
    <xf numFmtId="0" fontId="30" fillId="8" borderId="2" applyNumberFormat="0" applyAlignment="0" applyProtection="0"/>
    <xf numFmtId="0" fontId="30" fillId="8" borderId="2" applyNumberFormat="0" applyAlignment="0" applyProtection="0"/>
    <xf numFmtId="0" fontId="30" fillId="8" borderId="2" applyNumberFormat="0" applyAlignment="0" applyProtection="0"/>
    <xf numFmtId="0" fontId="30" fillId="8" borderId="2" applyNumberFormat="0" applyAlignment="0" applyProtection="0"/>
    <xf numFmtId="0" fontId="30" fillId="8" borderId="2" applyNumberFormat="0" applyAlignment="0" applyProtection="0"/>
    <xf numFmtId="0" fontId="30" fillId="8" borderId="2" applyNumberFormat="0" applyAlignment="0" applyProtection="0"/>
    <xf numFmtId="0" fontId="30" fillId="8" borderId="2" applyNumberFormat="0" applyAlignment="0" applyProtection="0"/>
    <xf numFmtId="0" fontId="30" fillId="8" borderId="2" applyNumberFormat="0" applyAlignment="0" applyProtection="0"/>
    <xf numFmtId="0" fontId="36" fillId="21" borderId="12" applyNumberFormat="0" applyAlignment="0" applyProtection="0"/>
    <xf numFmtId="0" fontId="36" fillId="21" borderId="12" applyNumberFormat="0" applyAlignment="0" applyProtection="0"/>
    <xf numFmtId="0" fontId="36" fillId="21" borderId="12" applyNumberFormat="0" applyAlignment="0" applyProtection="0"/>
    <xf numFmtId="0" fontId="36" fillId="21" borderId="12" applyNumberFormat="0" applyAlignment="0" applyProtection="0"/>
    <xf numFmtId="0" fontId="36" fillId="21" borderId="12" applyNumberFormat="0" applyAlignment="0" applyProtection="0"/>
    <xf numFmtId="0" fontId="36" fillId="21" borderId="12" applyNumberFormat="0" applyAlignment="0" applyProtection="0"/>
    <xf numFmtId="0" fontId="36" fillId="21" borderId="12" applyNumberFormat="0" applyAlignment="0" applyProtection="0"/>
    <xf numFmtId="0" fontId="36" fillId="21" borderId="12" applyNumberFormat="0" applyAlignment="0" applyProtection="0"/>
    <xf numFmtId="0" fontId="36" fillId="21" borderId="1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15" applyBorder="0">
      <alignment horizontal="center" vertical="center" wrapText="1"/>
    </xf>
    <xf numFmtId="170" fontId="44" fillId="28" borderId="14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14" fillId="22" borderId="3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6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7" borderId="11" applyNumberFormat="0" applyFont="0" applyAlignment="0" applyProtection="0"/>
    <xf numFmtId="0" fontId="2" fillId="27" borderId="11" applyNumberFormat="0" applyFont="0" applyAlignment="0" applyProtection="0"/>
    <xf numFmtId="0" fontId="2" fillId="27" borderId="11" applyNumberFormat="0" applyFont="0" applyAlignment="0" applyProtection="0"/>
    <xf numFmtId="0" fontId="2" fillId="27" borderId="11" applyNumberFormat="0" applyFont="0" applyAlignment="0" applyProtection="0"/>
    <xf numFmtId="0" fontId="2" fillId="27" borderId="11" applyNumberFormat="0" applyFont="0" applyAlignment="0" applyProtection="0"/>
    <xf numFmtId="0" fontId="2" fillId="27" borderId="11" applyNumberFormat="0" applyFont="0" applyAlignment="0" applyProtection="0"/>
    <xf numFmtId="0" fontId="2" fillId="27" borderId="11" applyNumberFormat="0" applyFont="0" applyAlignment="0" applyProtection="0"/>
    <xf numFmtId="0" fontId="2" fillId="27" borderId="11" applyNumberFormat="0" applyFont="0" applyAlignment="0" applyProtection="0"/>
    <xf numFmtId="0" fontId="2" fillId="27" borderId="11" applyNumberFormat="0" applyFont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7" fillId="0" borderId="0" applyNumberFormat="0" applyFont="0" applyBorder="0" applyAlignment="0">
      <alignment horizontal="center"/>
    </xf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46" fillId="0" borderId="0">
      <alignment vertical="top"/>
    </xf>
    <xf numFmtId="0" fontId="4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178" fontId="57" fillId="0" borderId="0">
      <protection locked="0"/>
    </xf>
    <xf numFmtId="178" fontId="57" fillId="0" borderId="0">
      <protection locked="0"/>
    </xf>
    <xf numFmtId="178" fontId="57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7" fillId="0" borderId="34">
      <protection locked="0"/>
    </xf>
    <xf numFmtId="0" fontId="7" fillId="2" borderId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8" fillId="37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8" fillId="38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8" fillId="39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8" fillId="40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8" fillId="41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8" fillId="42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8" fillId="43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8" fillId="44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8" fillId="45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8" fillId="40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8" fillId="43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8" fillId="4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9" fillId="47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9" fillId="44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9" fillId="4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9" fillId="48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9" fillId="49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9" fillId="50" borderId="0" applyNumberFormat="0" applyBorder="0" applyAlignment="0" applyProtection="0"/>
    <xf numFmtId="40" fontId="7" fillId="0" borderId="0" applyFont="0" applyFill="0" applyBorder="0" applyAlignment="0" applyProtection="0"/>
    <xf numFmtId="3" fontId="61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" fontId="61" fillId="0" borderId="0" applyFont="0" applyFill="0" applyBorder="0" applyAlignment="0" applyProtection="0"/>
    <xf numFmtId="0" fontId="62" fillId="0" borderId="35" applyNumberFormat="0" applyBorder="0">
      <alignment horizontal="centerContinuous"/>
    </xf>
    <xf numFmtId="0" fontId="63" fillId="0" borderId="0">
      <alignment horizontal="center"/>
    </xf>
    <xf numFmtId="0" fontId="63" fillId="51" borderId="0">
      <alignment horizont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/>
    <xf numFmtId="0" fontId="67" fillId="53" borderId="0"/>
    <xf numFmtId="0" fontId="68" fillId="0" borderId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7" fillId="0" borderId="10"/>
    <xf numFmtId="0" fontId="69" fillId="0" borderId="0"/>
    <xf numFmtId="0" fontId="70" fillId="0" borderId="0" applyNumberFormat="0">
      <alignment horizontal="left"/>
    </xf>
    <xf numFmtId="4" fontId="71" fillId="26" borderId="36" applyNumberFormat="0" applyProtection="0">
      <alignment vertical="center"/>
    </xf>
    <xf numFmtId="4" fontId="72" fillId="54" borderId="36" applyNumberFormat="0" applyProtection="0">
      <alignment vertical="center"/>
    </xf>
    <xf numFmtId="4" fontId="71" fillId="54" borderId="36" applyNumberFormat="0" applyProtection="0">
      <alignment horizontal="left" vertical="center" indent="1"/>
    </xf>
    <xf numFmtId="0" fontId="71" fillId="54" borderId="36" applyNumberFormat="0" applyProtection="0">
      <alignment horizontal="left" vertical="top" indent="1"/>
    </xf>
    <xf numFmtId="4" fontId="73" fillId="55" borderId="0" applyNumberFormat="0" applyProtection="0">
      <alignment horizontal="left" vertical="center" indent="1"/>
    </xf>
    <xf numFmtId="4" fontId="74" fillId="4" borderId="36" applyNumberFormat="0" applyProtection="0">
      <alignment horizontal="right" vertical="center"/>
    </xf>
    <xf numFmtId="4" fontId="74" fillId="10" borderId="36" applyNumberFormat="0" applyProtection="0">
      <alignment horizontal="right" vertical="center"/>
    </xf>
    <xf numFmtId="4" fontId="74" fillId="18" borderId="36" applyNumberFormat="0" applyProtection="0">
      <alignment horizontal="right" vertical="center"/>
    </xf>
    <xf numFmtId="4" fontId="74" fillId="12" borderId="36" applyNumberFormat="0" applyProtection="0">
      <alignment horizontal="right" vertical="center"/>
    </xf>
    <xf numFmtId="4" fontId="74" fillId="16" borderId="36" applyNumberFormat="0" applyProtection="0">
      <alignment horizontal="right" vertical="center"/>
    </xf>
    <xf numFmtId="4" fontId="74" fillId="20" borderId="36" applyNumberFormat="0" applyProtection="0">
      <alignment horizontal="right" vertical="center"/>
    </xf>
    <xf numFmtId="4" fontId="74" fillId="19" borderId="36" applyNumberFormat="0" applyProtection="0">
      <alignment horizontal="right" vertical="center"/>
    </xf>
    <xf numFmtId="4" fontId="74" fillId="56" borderId="36" applyNumberFormat="0" applyProtection="0">
      <alignment horizontal="right" vertical="center"/>
    </xf>
    <xf numFmtId="4" fontId="74" fillId="11" borderId="36" applyNumberFormat="0" applyProtection="0">
      <alignment horizontal="right" vertical="center"/>
    </xf>
    <xf numFmtId="4" fontId="71" fillId="57" borderId="37" applyNumberFormat="0" applyProtection="0">
      <alignment horizontal="left" vertical="center" indent="1"/>
    </xf>
    <xf numFmtId="4" fontId="74" fillId="58" borderId="0" applyNumberFormat="0" applyProtection="0">
      <alignment horizontal="left" vertical="center" indent="1"/>
    </xf>
    <xf numFmtId="4" fontId="75" fillId="55" borderId="0" applyNumberFormat="0" applyProtection="0">
      <alignment horizontal="left" vertical="center" indent="1"/>
    </xf>
    <xf numFmtId="4" fontId="73" fillId="59" borderId="36" applyNumberFormat="0" applyProtection="0">
      <alignment horizontal="right" vertical="center"/>
    </xf>
    <xf numFmtId="4" fontId="76" fillId="58" borderId="0" applyNumberFormat="0" applyProtection="0">
      <alignment horizontal="left" vertical="center" indent="1"/>
    </xf>
    <xf numFmtId="4" fontId="76" fillId="60" borderId="0" applyNumberFormat="0" applyProtection="0">
      <alignment horizontal="left" vertical="center" indent="1"/>
    </xf>
    <xf numFmtId="0" fontId="16" fillId="55" borderId="36" applyNumberFormat="0" applyProtection="0">
      <alignment horizontal="left" vertical="center" indent="1"/>
    </xf>
    <xf numFmtId="0" fontId="16" fillId="55" borderId="36" applyNumberFormat="0" applyProtection="0">
      <alignment horizontal="left" vertical="top" indent="1"/>
    </xf>
    <xf numFmtId="0" fontId="16" fillId="60" borderId="36" applyNumberFormat="0" applyProtection="0">
      <alignment horizontal="left" vertical="center" indent="1"/>
    </xf>
    <xf numFmtId="0" fontId="16" fillId="60" borderId="36" applyNumberFormat="0" applyProtection="0">
      <alignment horizontal="left" vertical="top" indent="1"/>
    </xf>
    <xf numFmtId="0" fontId="16" fillId="59" borderId="36" applyNumberFormat="0" applyProtection="0">
      <alignment horizontal="left" vertical="center" indent="1"/>
    </xf>
    <xf numFmtId="0" fontId="16" fillId="59" borderId="36" applyNumberFormat="0" applyProtection="0">
      <alignment horizontal="left" vertical="top" indent="1"/>
    </xf>
    <xf numFmtId="0" fontId="16" fillId="61" borderId="36" applyNumberFormat="0" applyProtection="0">
      <alignment horizontal="left" vertical="center" indent="1"/>
    </xf>
    <xf numFmtId="0" fontId="16" fillId="61" borderId="36" applyNumberFormat="0" applyProtection="0">
      <alignment horizontal="left" vertical="top" indent="1"/>
    </xf>
    <xf numFmtId="4" fontId="74" fillId="25" borderId="36" applyNumberFormat="0" applyProtection="0">
      <alignment vertical="center"/>
    </xf>
    <xf numFmtId="4" fontId="77" fillId="25" borderId="36" applyNumberFormat="0" applyProtection="0">
      <alignment vertical="center"/>
    </xf>
    <xf numFmtId="4" fontId="74" fillId="25" borderId="36" applyNumberFormat="0" applyProtection="0">
      <alignment horizontal="left" vertical="center" indent="1"/>
    </xf>
    <xf numFmtId="0" fontId="74" fillId="25" borderId="36" applyNumberFormat="0" applyProtection="0">
      <alignment horizontal="left" vertical="top" indent="1"/>
    </xf>
    <xf numFmtId="4" fontId="73" fillId="61" borderId="36" applyNumberFormat="0" applyProtection="0">
      <alignment horizontal="right" vertical="center"/>
    </xf>
    <xf numFmtId="4" fontId="77" fillId="58" borderId="36" applyNumberFormat="0" applyProtection="0">
      <alignment horizontal="right" vertical="center"/>
    </xf>
    <xf numFmtId="4" fontId="78" fillId="59" borderId="36" applyNumberFormat="0" applyProtection="0">
      <alignment horizontal="left" vertical="center" indent="1"/>
    </xf>
    <xf numFmtId="0" fontId="74" fillId="60" borderId="36" applyNumberFormat="0" applyProtection="0">
      <alignment horizontal="left" vertical="top" indent="1"/>
    </xf>
    <xf numFmtId="4" fontId="79" fillId="62" borderId="0" applyNumberFormat="0" applyProtection="0">
      <alignment horizontal="left" vertical="center" indent="1"/>
    </xf>
    <xf numFmtId="4" fontId="40" fillId="58" borderId="36" applyNumberFormat="0" applyProtection="0">
      <alignment horizontal="right" vertical="center"/>
    </xf>
    <xf numFmtId="0" fontId="80" fillId="63" borderId="0"/>
    <xf numFmtId="49" fontId="81" fillId="63" borderId="0"/>
    <xf numFmtId="49" fontId="82" fillId="63" borderId="38"/>
    <xf numFmtId="49" fontId="82" fillId="63" borderId="0"/>
    <xf numFmtId="0" fontId="80" fillId="64" borderId="38">
      <protection locked="0"/>
    </xf>
    <xf numFmtId="0" fontId="80" fillId="63" borderId="0"/>
    <xf numFmtId="0" fontId="82" fillId="65" borderId="0"/>
    <xf numFmtId="0" fontId="82" fillId="66" borderId="0"/>
    <xf numFmtId="0" fontId="82" fillId="67" borderId="0"/>
    <xf numFmtId="188" fontId="83" fillId="0" borderId="1">
      <alignment horizontal="left" vertical="center"/>
      <protection locked="0"/>
    </xf>
    <xf numFmtId="0" fontId="61" fillId="0" borderId="39" applyNumberFormat="0" applyFont="0" applyFill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9" fillId="6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9" fillId="6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9" fillId="70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9" fillId="48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9" fillId="4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9" fillId="71" borderId="0" applyNumberFormat="0" applyBorder="0" applyAlignment="0" applyProtection="0"/>
    <xf numFmtId="0" fontId="84" fillId="8" borderId="2" applyNumberFormat="0" applyAlignment="0" applyProtection="0"/>
    <xf numFmtId="0" fontId="84" fillId="8" borderId="2" applyNumberFormat="0" applyAlignment="0" applyProtection="0"/>
    <xf numFmtId="0" fontId="84" fillId="8" borderId="2" applyNumberFormat="0" applyAlignment="0" applyProtection="0"/>
    <xf numFmtId="0" fontId="84" fillId="8" borderId="2" applyNumberFormat="0" applyAlignment="0" applyProtection="0"/>
    <xf numFmtId="0" fontId="30" fillId="42" borderId="2" applyNumberFormat="0" applyAlignment="0" applyProtection="0"/>
    <xf numFmtId="0" fontId="85" fillId="21" borderId="12" applyNumberFormat="0" applyAlignment="0" applyProtection="0"/>
    <xf numFmtId="0" fontId="85" fillId="21" borderId="12" applyNumberFormat="0" applyAlignment="0" applyProtection="0"/>
    <xf numFmtId="0" fontId="85" fillId="21" borderId="12" applyNumberFormat="0" applyAlignment="0" applyProtection="0"/>
    <xf numFmtId="0" fontId="85" fillId="21" borderId="12" applyNumberFormat="0" applyAlignment="0" applyProtection="0"/>
    <xf numFmtId="0" fontId="36" fillId="72" borderId="12" applyNumberFormat="0" applyAlignment="0" applyProtection="0"/>
    <xf numFmtId="0" fontId="86" fillId="21" borderId="2" applyNumberFormat="0" applyAlignment="0" applyProtection="0"/>
    <xf numFmtId="0" fontId="86" fillId="21" borderId="2" applyNumberFormat="0" applyAlignment="0" applyProtection="0"/>
    <xf numFmtId="0" fontId="86" fillId="21" borderId="2" applyNumberFormat="0" applyAlignment="0" applyProtection="0"/>
    <xf numFmtId="0" fontId="86" fillId="21" borderId="2" applyNumberFormat="0" applyAlignment="0" applyProtection="0"/>
    <xf numFmtId="0" fontId="12" fillId="72" borderId="2" applyNumberFormat="0" applyAlignment="0" applyProtection="0"/>
    <xf numFmtId="0" fontId="87" fillId="0" borderId="0" applyBorder="0">
      <alignment horizontal="center" vertical="center" wrapText="1"/>
    </xf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7" applyNumberFormat="0" applyFill="0" applyAlignment="0" applyProtection="0"/>
    <xf numFmtId="0" fontId="89" fillId="0" borderId="7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" fontId="91" fillId="54" borderId="1" applyBorder="0">
      <alignment horizontal="right"/>
    </xf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2" fillId="0" borderId="13" applyNumberFormat="0" applyFill="0" applyAlignment="0" applyProtection="0"/>
    <xf numFmtId="0" fontId="93" fillId="22" borderId="3" applyNumberFormat="0" applyAlignment="0" applyProtection="0"/>
    <xf numFmtId="0" fontId="93" fillId="22" borderId="3" applyNumberFormat="0" applyAlignment="0" applyProtection="0"/>
    <xf numFmtId="0" fontId="93" fillId="22" borderId="3" applyNumberFormat="0" applyAlignment="0" applyProtection="0"/>
    <xf numFmtId="0" fontId="93" fillId="22" borderId="3" applyNumberFormat="0" applyAlignment="0" applyProtection="0"/>
    <xf numFmtId="0" fontId="14" fillId="73" borderId="3" applyNumberFormat="0" applyAlignment="0" applyProtection="0"/>
    <xf numFmtId="0" fontId="94" fillId="0" borderId="0">
      <alignment horizontal="center" vertical="top" wrapText="1"/>
    </xf>
    <xf numFmtId="0" fontId="95" fillId="0" borderId="0">
      <alignment horizontal="center" vertical="center" wrapText="1"/>
    </xf>
    <xf numFmtId="0" fontId="15" fillId="74" borderId="0" applyFill="0">
      <alignment wrapText="1"/>
    </xf>
    <xf numFmtId="0" fontId="15" fillId="74" borderId="0" applyFill="0">
      <alignment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32" fillId="75" borderId="0" applyNumberFormat="0" applyBorder="0" applyAlignment="0" applyProtection="0"/>
    <xf numFmtId="0" fontId="6" fillId="0" borderId="0"/>
    <xf numFmtId="0" fontId="6" fillId="0" borderId="0"/>
    <xf numFmtId="0" fontId="97" fillId="0" borderId="0"/>
    <xf numFmtId="0" fontId="6" fillId="0" borderId="0"/>
    <xf numFmtId="0" fontId="45" fillId="0" borderId="0"/>
    <xf numFmtId="0" fontId="6" fillId="0" borderId="0"/>
    <xf numFmtId="0" fontId="16" fillId="0" borderId="0"/>
    <xf numFmtId="0" fontId="6" fillId="0" borderId="0"/>
    <xf numFmtId="0" fontId="16" fillId="0" borderId="0" applyNumberFormat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1" fillId="0" borderId="0"/>
    <xf numFmtId="0" fontId="16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11" fillId="38" borderId="0" applyNumberFormat="0" applyBorder="0" applyAlignment="0" applyProtection="0"/>
    <xf numFmtId="189" fontId="99" fillId="54" borderId="40" applyNumberFormat="0" applyBorder="0" applyAlignment="0">
      <alignment vertical="center"/>
      <protection locked="0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6" fillId="27" borderId="11" applyNumberFormat="0" applyFont="0" applyAlignment="0" applyProtection="0"/>
    <xf numFmtId="0" fontId="16" fillId="27" borderId="11" applyNumberFormat="0" applyFont="0" applyAlignment="0" applyProtection="0"/>
    <xf numFmtId="0" fontId="16" fillId="27" borderId="11" applyNumberFormat="0" applyFont="0" applyAlignment="0" applyProtection="0"/>
    <xf numFmtId="0" fontId="16" fillId="27" borderId="11" applyNumberFormat="0" applyFont="0" applyAlignment="0" applyProtection="0"/>
    <xf numFmtId="0" fontId="16" fillId="76" borderId="11" applyNumberFormat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6" fillId="0" borderId="0"/>
    <xf numFmtId="38" fontId="46" fillId="0" borderId="0">
      <alignment vertical="top"/>
    </xf>
    <xf numFmtId="188" fontId="6" fillId="0" borderId="0" applyFill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9" fontId="15" fillId="0" borderId="0">
      <alignment horizontal="center"/>
    </xf>
    <xf numFmtId="181" fontId="2" fillId="0" borderId="0" applyFont="0" applyFill="0" applyBorder="0" applyAlignment="0" applyProtection="0"/>
    <xf numFmtId="190" fontId="16" fillId="0" borderId="0" applyFill="0" applyBorder="0" applyAlignment="0" applyProtection="0"/>
    <xf numFmtId="181" fontId="1" fillId="0" borderId="0" applyFont="0" applyFill="0" applyBorder="0" applyAlignment="0" applyProtection="0"/>
    <xf numFmtId="4" fontId="91" fillId="74" borderId="0" applyFont="0" applyBorder="0">
      <alignment horizontal="right"/>
    </xf>
    <xf numFmtId="4" fontId="91" fillId="74" borderId="41" applyBorder="0">
      <alignment horizontal="right"/>
    </xf>
    <xf numFmtId="4" fontId="91" fillId="74" borderId="1" applyFont="0" applyBorder="0">
      <alignment horizontal="right"/>
    </xf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23" fillId="39" borderId="0" applyNumberFormat="0" applyBorder="0" applyAlignment="0" applyProtection="0"/>
    <xf numFmtId="178" fontId="57" fillId="0" borderId="0">
      <protection locked="0"/>
    </xf>
    <xf numFmtId="9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2" fillId="0" borderId="0"/>
    <xf numFmtId="0" fontId="4" fillId="0" borderId="0"/>
    <xf numFmtId="0" fontId="120" fillId="0" borderId="0"/>
    <xf numFmtId="0" fontId="5" fillId="0" borderId="0"/>
    <xf numFmtId="0" fontId="4" fillId="0" borderId="0"/>
    <xf numFmtId="0" fontId="120" fillId="0" borderId="0" applyBorder="0"/>
    <xf numFmtId="0" fontId="2" fillId="0" borderId="0" applyBorder="0"/>
    <xf numFmtId="4" fontId="16" fillId="0" borderId="0" applyBorder="0">
      <alignment horizontal="right" vertical="top" wrapText="1"/>
    </xf>
    <xf numFmtId="0" fontId="121" fillId="0" borderId="49">
      <alignment horizontal="center" wrapText="1"/>
    </xf>
    <xf numFmtId="0" fontId="122" fillId="0" borderId="0">
      <alignment vertical="top"/>
    </xf>
    <xf numFmtId="0" fontId="123" fillId="0" borderId="0">
      <alignment vertical="top" wrapText="1"/>
    </xf>
    <xf numFmtId="0" fontId="121" fillId="0" borderId="0">
      <alignment horizontal="center"/>
    </xf>
    <xf numFmtId="4" fontId="91" fillId="74" borderId="0" applyBorder="0">
      <alignment horizontal="right"/>
    </xf>
    <xf numFmtId="4" fontId="124" fillId="0" borderId="0">
      <alignment horizontal="right" vertical="top"/>
    </xf>
    <xf numFmtId="0" fontId="125" fillId="0" borderId="0"/>
    <xf numFmtId="9" fontId="16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9" fontId="16" fillId="0" borderId="0" applyFont="0" applyFill="0" applyBorder="0" applyAlignment="0" applyProtection="0"/>
    <xf numFmtId="0" fontId="24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167" fontId="15" fillId="0" borderId="0" applyFont="0" applyFill="0" applyBorder="0" applyAlignment="0" applyProtection="0"/>
    <xf numFmtId="0" fontId="24" fillId="0" borderId="0"/>
    <xf numFmtId="0" fontId="1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9" fontId="16" fillId="0" borderId="0" applyFill="0" applyBorder="0" applyAlignment="0" applyProtection="0"/>
    <xf numFmtId="4" fontId="91" fillId="74" borderId="0" applyFont="0" applyBorder="0">
      <alignment horizontal="right"/>
    </xf>
  </cellStyleXfs>
  <cellXfs count="325">
    <xf numFmtId="0" fontId="0" fillId="0" borderId="0" xfId="0"/>
    <xf numFmtId="0" fontId="48" fillId="0" borderId="0" xfId="0" applyFon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top" wrapText="1"/>
    </xf>
    <xf numFmtId="0" fontId="48" fillId="29" borderId="17" xfId="0" applyFont="1" applyFill="1" applyBorder="1" applyAlignment="1">
      <alignment horizontal="center" vertical="center" wrapText="1"/>
    </xf>
    <xf numFmtId="0" fontId="48" fillId="29" borderId="18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82" fontId="48" fillId="30" borderId="21" xfId="0" applyNumberFormat="1" applyFont="1" applyFill="1" applyBorder="1" applyAlignment="1">
      <alignment horizontal="right" vertical="center" wrapText="1" indent="1"/>
    </xf>
    <xf numFmtId="0" fontId="48" fillId="29" borderId="22" xfId="0" applyFont="1" applyFill="1" applyBorder="1" applyAlignment="1">
      <alignment horizontal="left" vertical="center" indent="1"/>
    </xf>
    <xf numFmtId="0" fontId="51" fillId="29" borderId="17" xfId="0" applyFont="1" applyFill="1" applyBorder="1" applyAlignment="1">
      <alignment horizontal="left" vertical="center" indent="1"/>
    </xf>
    <xf numFmtId="3" fontId="48" fillId="31" borderId="10" xfId="0" applyNumberFormat="1" applyFont="1" applyFill="1" applyBorder="1" applyAlignment="1">
      <alignment horizontal="right" vertical="center" wrapText="1" indent="1"/>
    </xf>
    <xf numFmtId="4" fontId="48" fillId="30" borderId="21" xfId="0" applyNumberFormat="1" applyFont="1" applyFill="1" applyBorder="1" applyAlignment="1">
      <alignment horizontal="right" vertical="center" wrapText="1" indent="1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Protection="1">
      <protection locked="0"/>
    </xf>
    <xf numFmtId="0" fontId="49" fillId="0" borderId="0" xfId="0" applyFont="1" applyAlignment="1" applyProtection="1">
      <alignment horizontal="right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23" xfId="0" applyFont="1" applyBorder="1" applyAlignment="1" applyProtection="1">
      <alignment vertical="center" wrapText="1"/>
      <protection locked="0"/>
    </xf>
    <xf numFmtId="182" fontId="48" fillId="30" borderId="24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31" borderId="10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3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0" xfId="0" applyFont="1" applyBorder="1" applyAlignment="1" applyProtection="1">
      <alignment vertical="center" wrapText="1"/>
      <protection locked="0"/>
    </xf>
    <xf numFmtId="182" fontId="48" fillId="3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20" xfId="0" applyFont="1" applyBorder="1" applyAlignment="1" applyProtection="1">
      <alignment vertical="center" wrapText="1"/>
      <protection locked="0"/>
    </xf>
    <xf numFmtId="0" fontId="51" fillId="0" borderId="17" xfId="0" applyFont="1" applyBorder="1" applyAlignment="1" applyProtection="1">
      <alignment vertical="center" wrapText="1"/>
      <protection locked="0"/>
    </xf>
    <xf numFmtId="0" fontId="51" fillId="0" borderId="18" xfId="0" applyFont="1" applyBorder="1" applyAlignment="1" applyProtection="1">
      <alignment vertical="center" wrapText="1"/>
      <protection locked="0"/>
    </xf>
    <xf numFmtId="182" fontId="48" fillId="3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0" xfId="0" applyFont="1" applyAlignment="1" applyProtection="1">
      <alignment horizontal="right"/>
      <protection locked="0"/>
    </xf>
    <xf numFmtId="0" fontId="48" fillId="0" borderId="1" xfId="0" applyFont="1" applyBorder="1" applyAlignment="1" applyProtection="1">
      <alignment horizontal="center" vertical="center"/>
      <protection locked="0"/>
    </xf>
    <xf numFmtId="0" fontId="48" fillId="33" borderId="1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182" fontId="48" fillId="3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10" xfId="0" applyFont="1" applyBorder="1" applyAlignment="1" applyProtection="1">
      <alignment vertical="center" wrapText="1"/>
      <protection locked="0"/>
    </xf>
    <xf numFmtId="182" fontId="4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82" fontId="51" fillId="3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182" fontId="4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6" xfId="0" applyFont="1" applyBorder="1" applyAlignment="1" applyProtection="1">
      <alignment horizontal="center" vertical="top" wrapText="1"/>
      <protection locked="0"/>
    </xf>
    <xf numFmtId="0" fontId="48" fillId="0" borderId="27" xfId="0" applyFont="1" applyBorder="1" applyAlignment="1" applyProtection="1">
      <alignment horizontal="center" vertical="center" wrapText="1"/>
      <protection locked="0"/>
    </xf>
    <xf numFmtId="0" fontId="48" fillId="0" borderId="28" xfId="0" applyFont="1" applyBorder="1" applyAlignment="1" applyProtection="1">
      <alignment horizontal="center" vertical="top" wrapText="1"/>
      <protection locked="0"/>
    </xf>
    <xf numFmtId="182" fontId="48" fillId="30" borderId="27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31" borderId="27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3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25" xfId="0" applyFont="1" applyBorder="1" applyAlignment="1" applyProtection="1">
      <alignment vertical="center" wrapText="1"/>
      <protection locked="0"/>
    </xf>
    <xf numFmtId="182" fontId="48" fillId="34" borderId="18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32" borderId="18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82" fontId="51" fillId="3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31" xfId="0" applyFont="1" applyBorder="1" applyAlignment="1" applyProtection="1">
      <alignment horizontal="center" vertical="center" wrapText="1"/>
      <protection locked="0"/>
    </xf>
    <xf numFmtId="0" fontId="48" fillId="0" borderId="32" xfId="0" applyFont="1" applyBorder="1" applyAlignment="1" applyProtection="1">
      <alignment horizontal="center" vertical="top" wrapText="1"/>
      <protection locked="0"/>
    </xf>
    <xf numFmtId="4" fontId="48" fillId="30" borderId="31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30" borderId="33" xfId="0" applyNumberFormat="1" applyFont="1" applyFill="1" applyBorder="1" applyAlignment="1" applyProtection="1">
      <alignment horizontal="right" vertical="center" wrapText="1" indent="1"/>
      <protection locked="0"/>
    </xf>
    <xf numFmtId="4" fontId="48" fillId="31" borderId="31" xfId="0" applyNumberFormat="1" applyFont="1" applyFill="1" applyBorder="1" applyAlignment="1" applyProtection="1">
      <alignment horizontal="right" vertical="center" wrapText="1" indent="1"/>
      <protection locked="0"/>
    </xf>
    <xf numFmtId="4" fontId="4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4" fontId="51" fillId="0" borderId="30" xfId="0" applyNumberFormat="1" applyFont="1" applyBorder="1" applyAlignment="1" applyProtection="1">
      <alignment vertical="center" wrapText="1"/>
      <protection locked="0"/>
    </xf>
    <xf numFmtId="182" fontId="51" fillId="30" borderId="29" xfId="0" applyNumberFormat="1" applyFont="1" applyFill="1" applyBorder="1" applyAlignment="1" applyProtection="1">
      <alignment horizontal="right" vertical="center" wrapText="1" indent="1"/>
      <protection locked="0"/>
    </xf>
    <xf numFmtId="4" fontId="48" fillId="32" borderId="31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35" borderId="27" xfId="0" applyNumberFormat="1" applyFont="1" applyFill="1" applyBorder="1" applyAlignment="1" applyProtection="1">
      <alignment horizontal="right" vertical="center" wrapText="1" indent="1"/>
      <protection locked="0"/>
    </xf>
    <xf numFmtId="182" fontId="48" fillId="35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1" xfId="0" applyFont="1" applyBorder="1" applyAlignment="1" applyProtection="1">
      <alignment horizontal="center" vertical="center"/>
      <protection locked="0"/>
    </xf>
    <xf numFmtId="4" fontId="55" fillId="0" borderId="0" xfId="0" applyNumberFormat="1" applyFont="1" applyFill="1" applyBorder="1" applyAlignment="1" applyProtection="1">
      <alignment horizontal="center" vertical="center" wrapText="1"/>
    </xf>
    <xf numFmtId="4" fontId="56" fillId="0" borderId="0" xfId="0" applyNumberFormat="1" applyFont="1" applyFill="1" applyBorder="1" applyAlignment="1" applyProtection="1">
      <alignment horizontal="center" vertical="center" wrapText="1"/>
    </xf>
    <xf numFmtId="4" fontId="55" fillId="0" borderId="0" xfId="0" applyNumberFormat="1" applyFont="1" applyFill="1" applyBorder="1" applyAlignment="1" applyProtection="1">
      <alignment horizontal="left" vertical="top"/>
    </xf>
    <xf numFmtId="4" fontId="55" fillId="0" borderId="0" xfId="0" applyNumberFormat="1" applyFont="1" applyFill="1" applyBorder="1" applyAlignment="1" applyProtection="1">
      <alignment horizontal="right" vertical="center" wrapText="1"/>
    </xf>
    <xf numFmtId="0" fontId="55" fillId="0" borderId="0" xfId="0" applyNumberFormat="1" applyFont="1" applyFill="1" applyBorder="1" applyAlignment="1" applyProtection="1">
      <alignment horizontal="right" vertical="center" wrapText="1"/>
    </xf>
    <xf numFmtId="3" fontId="55" fillId="31" borderId="10" xfId="0" applyNumberFormat="1" applyFont="1" applyFill="1" applyBorder="1" applyAlignment="1" applyProtection="1">
      <alignment horizontal="center" vertical="center" wrapText="1"/>
    </xf>
    <xf numFmtId="183" fontId="55" fillId="31" borderId="10" xfId="0" applyNumberFormat="1" applyFont="1" applyFill="1" applyBorder="1" applyAlignment="1" applyProtection="1">
      <alignment horizontal="center" vertical="center" wrapText="1"/>
    </xf>
    <xf numFmtId="3" fontId="55" fillId="32" borderId="10" xfId="0" applyNumberFormat="1" applyFont="1" applyFill="1" applyBorder="1" applyAlignment="1" applyProtection="1">
      <alignment horizontal="center" vertical="center" wrapText="1"/>
    </xf>
    <xf numFmtId="183" fontId="55" fillId="32" borderId="10" xfId="0" applyNumberFormat="1" applyFont="1" applyFill="1" applyBorder="1" applyAlignment="1" applyProtection="1">
      <alignment horizontal="center" vertical="center" wrapText="1"/>
    </xf>
    <xf numFmtId="0" fontId="51" fillId="32" borderId="10" xfId="0" applyFont="1" applyFill="1" applyBorder="1" applyAlignment="1" applyProtection="1">
      <alignment horizontal="center" vertical="center" wrapText="1"/>
      <protection locked="0"/>
    </xf>
    <xf numFmtId="0" fontId="51" fillId="32" borderId="10" xfId="0" applyFont="1" applyFill="1" applyBorder="1" applyAlignment="1" applyProtection="1">
      <alignment vertical="center" wrapText="1"/>
      <protection locked="0"/>
    </xf>
    <xf numFmtId="4" fontId="56" fillId="30" borderId="10" xfId="0" applyNumberFormat="1" applyFont="1" applyFill="1" applyBorder="1" applyAlignment="1" applyProtection="1">
      <alignment horizontal="center" vertical="center" wrapText="1"/>
    </xf>
    <xf numFmtId="0" fontId="51" fillId="0" borderId="1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20" xfId="0" applyFont="1" applyBorder="1" applyAlignment="1" applyProtection="1">
      <alignment vertical="center" wrapText="1"/>
      <protection locked="0"/>
    </xf>
    <xf numFmtId="182" fontId="51" fillId="30" borderId="10" xfId="0" applyNumberFormat="1" applyFont="1" applyFill="1" applyBorder="1" applyAlignment="1" applyProtection="1">
      <alignment horizontal="right" vertical="center" wrapText="1" indent="1"/>
      <protection locked="0"/>
    </xf>
    <xf numFmtId="182" fontId="51" fillId="30" borderId="27" xfId="0" applyNumberFormat="1" applyFont="1" applyFill="1" applyBorder="1" applyAlignment="1" applyProtection="1">
      <alignment horizontal="right" vertical="center" wrapText="1" indent="1"/>
      <protection locked="0"/>
    </xf>
    <xf numFmtId="2" fontId="16" fillId="0" borderId="0" xfId="0" applyNumberFormat="1" applyFont="1" applyAlignment="1">
      <alignment horizontal="center" wrapText="1"/>
    </xf>
    <xf numFmtId="2" fontId="104" fillId="0" borderId="0" xfId="0" applyNumberFormat="1" applyFont="1" applyAlignment="1">
      <alignment horizontal="center" wrapText="1"/>
    </xf>
    <xf numFmtId="14" fontId="104" fillId="0" borderId="0" xfId="0" applyNumberFormat="1" applyFont="1" applyAlignment="1">
      <alignment horizontal="center" wrapText="1"/>
    </xf>
    <xf numFmtId="1" fontId="108" fillId="0" borderId="0" xfId="0" applyNumberFormat="1" applyFont="1" applyBorder="1" applyAlignment="1">
      <alignment horizontal="center" wrapText="1"/>
    </xf>
    <xf numFmtId="2" fontId="108" fillId="0" borderId="0" xfId="0" applyNumberFormat="1" applyFont="1" applyBorder="1" applyAlignment="1">
      <alignment horizontal="center" wrapText="1"/>
    </xf>
    <xf numFmtId="2" fontId="105" fillId="0" borderId="0" xfId="0" applyNumberFormat="1" applyFont="1" applyBorder="1" applyAlignment="1">
      <alignment horizontal="center" wrapText="1"/>
    </xf>
    <xf numFmtId="14" fontId="108" fillId="0" borderId="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center" wrapText="1"/>
    </xf>
    <xf numFmtId="2" fontId="105" fillId="0" borderId="0" xfId="0" applyNumberFormat="1" applyFont="1" applyAlignment="1">
      <alignment horizontal="center" wrapText="1"/>
    </xf>
    <xf numFmtId="14" fontId="105" fillId="0" borderId="0" xfId="0" applyNumberFormat="1" applyFont="1" applyAlignment="1">
      <alignment horizontal="center" wrapText="1"/>
    </xf>
    <xf numFmtId="1" fontId="109" fillId="0" borderId="0" xfId="0" applyNumberFormat="1" applyFont="1" applyAlignment="1">
      <alignment horizontal="center" wrapText="1"/>
    </xf>
    <xf numFmtId="1" fontId="16" fillId="0" borderId="0" xfId="0" applyNumberFormat="1" applyFont="1" applyAlignment="1">
      <alignment horizontal="center" wrapText="1"/>
    </xf>
    <xf numFmtId="2" fontId="110" fillId="0" borderId="0" xfId="0" applyNumberFormat="1" applyFont="1" applyAlignment="1">
      <alignment horizontal="center" wrapText="1"/>
    </xf>
    <xf numFmtId="2" fontId="105" fillId="0" borderId="0" xfId="0" applyNumberFormat="1" applyFont="1" applyBorder="1" applyAlignment="1">
      <alignment horizontal="left" vertical="center"/>
    </xf>
    <xf numFmtId="2" fontId="105" fillId="0" borderId="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2" fontId="105" fillId="0" borderId="10" xfId="0" applyNumberFormat="1" applyFont="1" applyBorder="1" applyAlignment="1">
      <alignment horizontal="center" wrapText="1"/>
    </xf>
    <xf numFmtId="2" fontId="104" fillId="0" borderId="10" xfId="0" applyNumberFormat="1" applyFont="1" applyBorder="1" applyAlignment="1">
      <alignment horizontal="center" wrapText="1"/>
    </xf>
    <xf numFmtId="1" fontId="106" fillId="0" borderId="10" xfId="0" applyNumberFormat="1" applyFont="1" applyBorder="1" applyAlignment="1">
      <alignment horizontal="center" wrapText="1"/>
    </xf>
    <xf numFmtId="2" fontId="106" fillId="0" borderId="10" xfId="0" applyNumberFormat="1" applyFont="1" applyBorder="1" applyAlignment="1">
      <alignment horizontal="center" wrapText="1"/>
    </xf>
    <xf numFmtId="4" fontId="107" fillId="0" borderId="10" xfId="0" applyNumberFormat="1" applyFont="1" applyBorder="1" applyAlignment="1">
      <alignment horizontal="center" vertical="center" wrapText="1"/>
    </xf>
    <xf numFmtId="1" fontId="108" fillId="0" borderId="10" xfId="0" applyNumberFormat="1" applyFont="1" applyBorder="1" applyAlignment="1">
      <alignment horizontal="center" wrapText="1"/>
    </xf>
    <xf numFmtId="2" fontId="108" fillId="0" borderId="10" xfId="0" applyNumberFormat="1" applyFont="1" applyBorder="1" applyAlignment="1">
      <alignment horizontal="left" wrapText="1"/>
    </xf>
    <xf numFmtId="2" fontId="16" fillId="30" borderId="10" xfId="0" applyNumberFormat="1" applyFont="1" applyFill="1" applyBorder="1" applyAlignment="1">
      <alignment horizontal="center" wrapText="1"/>
    </xf>
    <xf numFmtId="2" fontId="105" fillId="30" borderId="10" xfId="0" applyNumberFormat="1" applyFont="1" applyFill="1" applyBorder="1" applyAlignment="1">
      <alignment horizontal="center" wrapText="1"/>
    </xf>
    <xf numFmtId="4" fontId="105" fillId="30" borderId="10" xfId="0" applyNumberFormat="1" applyFont="1" applyFill="1" applyBorder="1" applyAlignment="1">
      <alignment horizontal="center" wrapText="1"/>
    </xf>
    <xf numFmtId="14" fontId="16" fillId="0" borderId="10" xfId="0" applyNumberFormat="1" applyFont="1" applyBorder="1" applyAlignment="1">
      <alignment horizontal="center" wrapText="1"/>
    </xf>
    <xf numFmtId="1" fontId="109" fillId="0" borderId="10" xfId="0" applyNumberFormat="1" applyFont="1" applyBorder="1" applyAlignment="1">
      <alignment horizontal="center" wrapText="1"/>
    </xf>
    <xf numFmtId="184" fontId="16" fillId="0" borderId="0" xfId="0" applyNumberFormat="1" applyFont="1" applyFill="1" applyAlignment="1">
      <alignment horizontal="center" wrapText="1"/>
    </xf>
    <xf numFmtId="0" fontId="10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48" fillId="0" borderId="0" xfId="0" applyFont="1" applyFill="1" applyAlignment="1">
      <alignment vertical="center" wrapText="1"/>
    </xf>
    <xf numFmtId="191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4" fontId="48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191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4" fontId="55" fillId="0" borderId="0" xfId="0" applyNumberFormat="1" applyFont="1" applyFill="1" applyAlignment="1">
      <alignment vertical="center" wrapText="1"/>
    </xf>
    <xf numFmtId="0" fontId="55" fillId="0" borderId="0" xfId="0" applyFont="1" applyFill="1" applyAlignment="1">
      <alignment horizontal="left" vertical="center" wrapText="1"/>
    </xf>
    <xf numFmtId="4" fontId="55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3" fontId="54" fillId="0" borderId="10" xfId="0" applyNumberFormat="1" applyFont="1" applyFill="1" applyBorder="1" applyAlignment="1">
      <alignment horizontal="center" vertical="center" wrapText="1"/>
    </xf>
    <xf numFmtId="191" fontId="55" fillId="31" borderId="10" xfId="0" applyNumberFormat="1" applyFont="1" applyFill="1" applyBorder="1" applyAlignment="1">
      <alignment horizontal="center" vertical="center" wrapText="1"/>
    </xf>
    <xf numFmtId="4" fontId="55" fillId="31" borderId="10" xfId="0" applyNumberFormat="1" applyFont="1" applyFill="1" applyBorder="1" applyAlignment="1">
      <alignment horizontal="left" vertical="center" wrapText="1"/>
    </xf>
    <xf numFmtId="1" fontId="55" fillId="31" borderId="10" xfId="0" applyNumberFormat="1" applyFont="1" applyFill="1" applyBorder="1" applyAlignment="1">
      <alignment horizontal="center" vertical="center" wrapText="1"/>
    </xf>
    <xf numFmtId="4" fontId="55" fillId="31" borderId="10" xfId="0" applyNumberFormat="1" applyFont="1" applyFill="1" applyBorder="1" applyAlignment="1">
      <alignment horizontal="center" vertical="center" wrapText="1"/>
    </xf>
    <xf numFmtId="192" fontId="55" fillId="31" borderId="10" xfId="0" applyNumberFormat="1" applyFont="1" applyFill="1" applyBorder="1" applyAlignment="1">
      <alignment horizontal="center" vertical="center" wrapText="1"/>
    </xf>
    <xf numFmtId="189" fontId="55" fillId="31" borderId="10" xfId="0" applyNumberFormat="1" applyFont="1" applyFill="1" applyBorder="1" applyAlignment="1">
      <alignment horizontal="center" vertical="center" wrapText="1"/>
    </xf>
    <xf numFmtId="4" fontId="112" fillId="30" borderId="10" xfId="0" applyNumberFormat="1" applyFont="1" applyFill="1" applyBorder="1" applyAlignment="1">
      <alignment horizontal="center" vertical="center" wrapText="1"/>
    </xf>
    <xf numFmtId="4" fontId="56" fillId="30" borderId="10" xfId="0" applyNumberFormat="1" applyFont="1" applyFill="1" applyBorder="1" applyAlignment="1">
      <alignment horizontal="center" vertical="center" wrapText="1"/>
    </xf>
    <xf numFmtId="192" fontId="56" fillId="3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111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112" fillId="0" borderId="10" xfId="0" applyNumberFormat="1" applyFont="1" applyFill="1" applyBorder="1" applyAlignment="1">
      <alignment horizontal="center" vertical="center" wrapText="1"/>
    </xf>
    <xf numFmtId="192" fontId="112" fillId="0" borderId="2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 applyProtection="1">
      <alignment horizontal="center" vertical="center" wrapText="1"/>
    </xf>
    <xf numFmtId="4" fontId="56" fillId="0" borderId="10" xfId="0" applyNumberFormat="1" applyFont="1" applyFill="1" applyBorder="1" applyAlignment="1" applyProtection="1">
      <alignment horizontal="center" vertical="center" wrapText="1"/>
    </xf>
    <xf numFmtId="4" fontId="11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 applyProtection="1">
      <alignment vertical="center"/>
      <protection locked="0"/>
    </xf>
    <xf numFmtId="183" fontId="55" fillId="0" borderId="10" xfId="0" applyNumberFormat="1" applyFont="1" applyFill="1" applyBorder="1" applyAlignment="1" applyProtection="1">
      <alignment horizontal="center" vertical="center" wrapText="1"/>
    </xf>
    <xf numFmtId="0" fontId="48" fillId="0" borderId="10" xfId="0" applyFont="1" applyBorder="1"/>
    <xf numFmtId="0" fontId="48" fillId="0" borderId="10" xfId="0" applyFont="1" applyBorder="1" applyAlignment="1">
      <alignment horizontal="center"/>
    </xf>
    <xf numFmtId="182" fontId="48" fillId="0" borderId="0" xfId="0" applyNumberFormat="1" applyFont="1"/>
    <xf numFmtId="182" fontId="48" fillId="0" borderId="10" xfId="0" applyNumberFormat="1" applyFont="1" applyFill="1" applyBorder="1" applyAlignment="1">
      <alignment horizontal="right" vertical="center" wrapText="1" indent="1"/>
    </xf>
    <xf numFmtId="182" fontId="48" fillId="30" borderId="10" xfId="0" applyNumberFormat="1" applyFont="1" applyFill="1" applyBorder="1" applyAlignment="1">
      <alignment horizontal="right" vertical="center" wrapText="1" indent="1"/>
    </xf>
    <xf numFmtId="0" fontId="48" fillId="0" borderId="10" xfId="0" applyFont="1" applyFill="1" applyBorder="1"/>
    <xf numFmtId="4" fontId="56" fillId="32" borderId="10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Alignment="1">
      <alignment vertical="center"/>
    </xf>
    <xf numFmtId="4" fontId="55" fillId="0" borderId="0" xfId="0" applyNumberFormat="1" applyFont="1" applyFill="1" applyBorder="1" applyAlignment="1">
      <alignment horizontal="center" vertical="center" wrapText="1"/>
    </xf>
    <xf numFmtId="2" fontId="104" fillId="0" borderId="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left"/>
    </xf>
    <xf numFmtId="14" fontId="104" fillId="0" borderId="0" xfId="0" applyNumberFormat="1" applyFont="1" applyBorder="1" applyAlignment="1">
      <alignment horizontal="center" wrapText="1"/>
    </xf>
    <xf numFmtId="182" fontId="114" fillId="31" borderId="10" xfId="0" applyNumberFormat="1" applyFont="1" applyFill="1" applyBorder="1" applyAlignment="1">
      <alignment horizontal="right" vertical="center" wrapText="1" indent="1"/>
    </xf>
    <xf numFmtId="0" fontId="114" fillId="29" borderId="18" xfId="0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 applyProtection="1">
      <alignment horizontal="left" vertical="top"/>
    </xf>
    <xf numFmtId="4" fontId="115" fillId="0" borderId="0" xfId="0" applyNumberFormat="1" applyFont="1" applyFill="1" applyBorder="1" applyAlignment="1" applyProtection="1">
      <alignment horizontal="left" vertical="top"/>
    </xf>
    <xf numFmtId="182" fontId="55" fillId="30" borderId="10" xfId="0" applyNumberFormat="1" applyFont="1" applyFill="1" applyBorder="1" applyAlignment="1" applyProtection="1">
      <alignment horizontal="center" vertical="center" wrapText="1"/>
    </xf>
    <xf numFmtId="182" fontId="55" fillId="31" borderId="10" xfId="0" applyNumberFormat="1" applyFont="1" applyFill="1" applyBorder="1" applyAlignment="1" applyProtection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" fontId="46" fillId="0" borderId="10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right" vertical="center" wrapText="1"/>
    </xf>
    <xf numFmtId="4" fontId="55" fillId="0" borderId="0" xfId="0" applyNumberFormat="1" applyFont="1" applyFill="1" applyBorder="1" applyAlignment="1" applyProtection="1">
      <alignment horizontal="center" vertical="center" wrapText="1"/>
    </xf>
    <xf numFmtId="0" fontId="48" fillId="29" borderId="1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/>
    <xf numFmtId="0" fontId="114" fillId="29" borderId="17" xfId="0" applyFont="1" applyFill="1" applyBorder="1" applyAlignment="1">
      <alignment horizontal="center" vertical="center" wrapText="1"/>
    </xf>
    <xf numFmtId="0" fontId="48" fillId="29" borderId="44" xfId="0" applyFont="1" applyFill="1" applyBorder="1" applyAlignment="1">
      <alignment horizontal="center" vertical="center" wrapText="1"/>
    </xf>
    <xf numFmtId="3" fontId="48" fillId="31" borderId="19" xfId="0" applyNumberFormat="1" applyFont="1" applyFill="1" applyBorder="1" applyAlignment="1">
      <alignment horizontal="right" vertical="center" wrapText="1" indent="1"/>
    </xf>
    <xf numFmtId="4" fontId="48" fillId="30" borderId="45" xfId="0" applyNumberFormat="1" applyFont="1" applyFill="1" applyBorder="1" applyAlignment="1">
      <alignment horizontal="right" vertical="center" wrapText="1" indent="1"/>
    </xf>
    <xf numFmtId="182" fontId="48" fillId="0" borderId="19" xfId="0" applyNumberFormat="1" applyFont="1" applyFill="1" applyBorder="1" applyAlignment="1">
      <alignment horizontal="right" vertical="center" wrapText="1" indent="1"/>
    </xf>
    <xf numFmtId="0" fontId="54" fillId="29" borderId="17" xfId="0" applyFont="1" applyFill="1" applyBorder="1" applyAlignment="1">
      <alignment horizontal="center" vertical="center" wrapText="1"/>
    </xf>
    <xf numFmtId="0" fontId="54" fillId="29" borderId="18" xfId="0" applyFont="1" applyFill="1" applyBorder="1" applyAlignment="1">
      <alignment horizontal="center" vertical="center" wrapText="1"/>
    </xf>
    <xf numFmtId="0" fontId="54" fillId="0" borderId="10" xfId="0" applyFont="1" applyFill="1" applyBorder="1"/>
    <xf numFmtId="0" fontId="54" fillId="29" borderId="17" xfId="0" applyFont="1" applyFill="1" applyBorder="1" applyAlignment="1">
      <alignment horizontal="left" vertical="center"/>
    </xf>
    <xf numFmtId="0" fontId="114" fillId="29" borderId="22" xfId="0" applyFont="1" applyFill="1" applyBorder="1" applyAlignment="1">
      <alignment horizontal="center" vertical="center" wrapText="1"/>
    </xf>
    <xf numFmtId="182" fontId="114" fillId="32" borderId="0" xfId="0" applyNumberFormat="1" applyFont="1" applyFill="1" applyBorder="1" applyAlignment="1">
      <alignment horizontal="right" vertical="center" wrapText="1" indent="1"/>
    </xf>
    <xf numFmtId="0" fontId="114" fillId="32" borderId="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 applyProtection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4" fontId="48" fillId="30" borderId="22" xfId="0" applyNumberFormat="1" applyFont="1" applyFill="1" applyBorder="1" applyAlignment="1">
      <alignment horizontal="right" vertical="center" wrapText="1" indent="1"/>
    </xf>
    <xf numFmtId="182" fontId="48" fillId="30" borderId="22" xfId="0" applyNumberFormat="1" applyFont="1" applyFill="1" applyBorder="1" applyAlignment="1">
      <alignment horizontal="right" vertical="center" wrapText="1" indent="1"/>
    </xf>
    <xf numFmtId="0" fontId="114" fillId="29" borderId="10" xfId="0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 applyProtection="1">
      <alignment horizontal="center" vertical="center" wrapText="1"/>
    </xf>
    <xf numFmtId="183" fontId="55" fillId="0" borderId="0" xfId="0" applyNumberFormat="1" applyFont="1" applyFill="1" applyBorder="1" applyAlignment="1" applyProtection="1">
      <alignment horizontal="center" vertical="center" wrapText="1"/>
    </xf>
    <xf numFmtId="182" fontId="55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Protection="1"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top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" fontId="111" fillId="0" borderId="20" xfId="0" applyNumberFormat="1" applyFont="1" applyFill="1" applyBorder="1" applyAlignment="1">
      <alignment horizontal="center" vertical="center" wrapText="1"/>
    </xf>
    <xf numFmtId="182" fontId="48" fillId="31" borderId="16" xfId="0" applyNumberFormat="1" applyFont="1" applyFill="1" applyBorder="1" applyAlignment="1" applyProtection="1">
      <alignment horizontal="right" vertical="center" wrapText="1" indent="1"/>
      <protection locked="0"/>
    </xf>
    <xf numFmtId="182" fontId="51" fillId="32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51" fillId="32" borderId="31" xfId="0" applyNumberFormat="1" applyFont="1" applyFill="1" applyBorder="1" applyAlignment="1" applyProtection="1">
      <alignment horizontal="right" vertical="center" wrapText="1" indent="1"/>
      <protection locked="0"/>
    </xf>
    <xf numFmtId="191" fontId="54" fillId="31" borderId="10" xfId="0" applyNumberFormat="1" applyFont="1" applyFill="1" applyBorder="1" applyAlignment="1">
      <alignment horizontal="center" vertical="center" wrapText="1"/>
    </xf>
    <xf numFmtId="4" fontId="54" fillId="31" borderId="10" xfId="0" applyNumberFormat="1" applyFont="1" applyFill="1" applyBorder="1" applyAlignment="1">
      <alignment horizontal="center" vertical="center" wrapText="1"/>
    </xf>
    <xf numFmtId="4" fontId="54" fillId="31" borderId="10" xfId="0" applyNumberFormat="1" applyFont="1" applyFill="1" applyBorder="1" applyAlignment="1">
      <alignment horizontal="left" vertical="center" wrapText="1"/>
    </xf>
    <xf numFmtId="1" fontId="54" fillId="31" borderId="10" xfId="0" applyNumberFormat="1" applyFont="1" applyFill="1" applyBorder="1" applyAlignment="1">
      <alignment horizontal="center" vertical="center" wrapText="1"/>
    </xf>
    <xf numFmtId="1" fontId="54" fillId="31" borderId="10" xfId="0" applyNumberFormat="1" applyFont="1" applyFill="1" applyBorder="1" applyAlignment="1">
      <alignment horizontal="left" vertical="center" wrapText="1"/>
    </xf>
    <xf numFmtId="4" fontId="112" fillId="30" borderId="20" xfId="0" applyNumberFormat="1" applyFont="1" applyFill="1" applyBorder="1" applyAlignment="1">
      <alignment horizontal="center" vertical="center" wrapText="1"/>
    </xf>
    <xf numFmtId="4" fontId="112" fillId="0" borderId="20" xfId="0" applyNumberFormat="1" applyFont="1" applyFill="1" applyBorder="1" applyAlignment="1">
      <alignment horizontal="center" vertical="center" wrapText="1"/>
    </xf>
    <xf numFmtId="3" fontId="54" fillId="0" borderId="46" xfId="0" applyNumberFormat="1" applyFont="1" applyFill="1" applyBorder="1" applyAlignment="1">
      <alignment horizontal="center" vertical="center" wrapText="1"/>
    </xf>
    <xf numFmtId="191" fontId="55" fillId="31" borderId="46" xfId="0" applyNumberFormat="1" applyFont="1" applyFill="1" applyBorder="1" applyAlignment="1">
      <alignment horizontal="center" vertical="center" wrapText="1"/>
    </xf>
    <xf numFmtId="4" fontId="55" fillId="31" borderId="46" xfId="0" applyNumberFormat="1" applyFont="1" applyFill="1" applyBorder="1" applyAlignment="1">
      <alignment horizontal="left" vertical="center" wrapText="1"/>
    </xf>
    <xf numFmtId="1" fontId="55" fillId="31" borderId="46" xfId="0" applyNumberFormat="1" applyFont="1" applyFill="1" applyBorder="1" applyAlignment="1">
      <alignment horizontal="center" vertical="center" wrapText="1"/>
    </xf>
    <xf numFmtId="4" fontId="55" fillId="31" borderId="46" xfId="0" applyNumberFormat="1" applyFont="1" applyFill="1" applyBorder="1" applyAlignment="1">
      <alignment horizontal="center" vertical="center" wrapText="1"/>
    </xf>
    <xf numFmtId="192" fontId="54" fillId="31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48" fillId="0" borderId="0" xfId="0" applyFont="1"/>
    <xf numFmtId="0" fontId="0" fillId="0" borderId="0" xfId="0"/>
    <xf numFmtId="0" fontId="48" fillId="0" borderId="0" xfId="0" applyFont="1"/>
    <xf numFmtId="0" fontId="48" fillId="0" borderId="0" xfId="0" applyFont="1" applyAlignment="1">
      <alignment horizontal="right"/>
    </xf>
    <xf numFmtId="0" fontId="119" fillId="0" borderId="0" xfId="0" applyFont="1" applyAlignment="1">
      <alignment horizontal="left" vertical="center"/>
    </xf>
    <xf numFmtId="0" fontId="119" fillId="0" borderId="48" xfId="0" applyFont="1" applyBorder="1" applyAlignment="1">
      <alignment horizontal="left"/>
    </xf>
    <xf numFmtId="3" fontId="48" fillId="30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1" fillId="0" borderId="17" xfId="0" applyNumberFormat="1" applyFont="1" applyBorder="1" applyAlignment="1" applyProtection="1">
      <alignment vertical="center" wrapText="1"/>
      <protection locked="0"/>
    </xf>
    <xf numFmtId="3" fontId="48" fillId="32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1" fillId="32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48" fillId="0" borderId="0" xfId="0" applyNumberFormat="1" applyFont="1" applyProtection="1">
      <protection locked="0"/>
    </xf>
    <xf numFmtId="4" fontId="5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48" fillId="29" borderId="16" xfId="0" applyFont="1" applyFill="1" applyBorder="1" applyAlignment="1">
      <alignment horizontal="center" vertical="center" wrapText="1"/>
    </xf>
    <xf numFmtId="0" fontId="48" fillId="29" borderId="17" xfId="0" applyFont="1" applyFill="1" applyBorder="1" applyAlignment="1">
      <alignment horizontal="center" vertical="center" wrapText="1"/>
    </xf>
    <xf numFmtId="0" fontId="48" fillId="29" borderId="18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4" fontId="94" fillId="36" borderId="16" xfId="0" applyNumberFormat="1" applyFont="1" applyFill="1" applyBorder="1" applyAlignment="1" applyProtection="1">
      <alignment horizontal="center" vertical="center" wrapText="1"/>
    </xf>
    <xf numFmtId="4" fontId="94" fillId="36" borderId="17" xfId="0" applyNumberFormat="1" applyFont="1" applyFill="1" applyBorder="1" applyAlignment="1" applyProtection="1">
      <alignment horizontal="center" vertical="center" wrapText="1"/>
    </xf>
    <xf numFmtId="4" fontId="94" fillId="36" borderId="44" xfId="0" applyNumberFormat="1" applyFont="1" applyFill="1" applyBorder="1" applyAlignment="1" applyProtection="1">
      <alignment horizontal="center" vertical="center" wrapText="1"/>
    </xf>
    <xf numFmtId="4" fontId="94" fillId="36" borderId="26" xfId="0" applyNumberFormat="1" applyFont="1" applyFill="1" applyBorder="1" applyAlignment="1" applyProtection="1">
      <alignment horizontal="center" vertical="center" wrapText="1"/>
    </xf>
    <xf numFmtId="4" fontId="94" fillId="36" borderId="22" xfId="0" applyNumberFormat="1" applyFont="1" applyFill="1" applyBorder="1" applyAlignment="1" applyProtection="1">
      <alignment horizontal="center" vertical="center" wrapText="1"/>
    </xf>
    <xf numFmtId="4" fontId="94" fillId="36" borderId="21" xfId="0" applyNumberFormat="1" applyFont="1" applyFill="1" applyBorder="1" applyAlignment="1" applyProtection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4" fontId="55" fillId="0" borderId="0" xfId="0" applyNumberFormat="1" applyFont="1" applyFill="1" applyBorder="1" applyAlignment="1" applyProtection="1">
      <alignment horizontal="right" vertical="center" wrapText="1"/>
    </xf>
    <xf numFmtId="0" fontId="55" fillId="0" borderId="0" xfId="0" applyNumberFormat="1" applyFont="1" applyFill="1" applyBorder="1" applyAlignment="1" applyProtection="1">
      <alignment horizontal="right" vertical="center" wrapText="1"/>
    </xf>
    <xf numFmtId="4" fontId="55" fillId="0" borderId="0" xfId="0" applyNumberFormat="1" applyFont="1" applyFill="1" applyBorder="1" applyAlignment="1" applyProtection="1">
      <alignment horizontal="center" vertical="center" wrapText="1"/>
    </xf>
    <xf numFmtId="4" fontId="55" fillId="0" borderId="10" xfId="0" applyNumberFormat="1" applyFont="1" applyFill="1" applyBorder="1" applyAlignment="1" applyProtection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</xf>
    <xf numFmtId="0" fontId="48" fillId="0" borderId="30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25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2" fontId="16" fillId="0" borderId="0" xfId="0" applyNumberFormat="1" applyFont="1" applyAlignment="1">
      <alignment horizontal="left" wrapText="1"/>
    </xf>
    <xf numFmtId="2" fontId="16" fillId="0" borderId="10" xfId="0" applyNumberFormat="1" applyFont="1" applyBorder="1" applyAlignment="1">
      <alignment horizontal="center" wrapText="1"/>
    </xf>
    <xf numFmtId="14" fontId="16" fillId="0" borderId="10" xfId="0" applyNumberFormat="1" applyFont="1" applyBorder="1" applyAlignment="1">
      <alignment horizontal="center" wrapText="1"/>
    </xf>
    <xf numFmtId="1" fontId="108" fillId="0" borderId="10" xfId="0" applyNumberFormat="1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horizontal="center" wrapText="1"/>
    </xf>
    <xf numFmtId="2" fontId="104" fillId="0" borderId="0" xfId="0" applyNumberFormat="1" applyFont="1" applyAlignment="1">
      <alignment horizontal="right" wrapText="1"/>
    </xf>
    <xf numFmtId="2" fontId="105" fillId="0" borderId="16" xfId="0" applyNumberFormat="1" applyFont="1" applyBorder="1" applyAlignment="1">
      <alignment horizontal="center" vertical="center"/>
    </xf>
    <xf numFmtId="2" fontId="105" fillId="0" borderId="17" xfId="0" applyNumberFormat="1" applyFont="1" applyBorder="1" applyAlignment="1">
      <alignment horizontal="center" vertical="center"/>
    </xf>
    <xf numFmtId="2" fontId="105" fillId="0" borderId="18" xfId="0" applyNumberFormat="1" applyFont="1" applyBorder="1" applyAlignment="1">
      <alignment horizontal="center" vertical="center"/>
    </xf>
    <xf numFmtId="2" fontId="105" fillId="0" borderId="10" xfId="0" applyNumberFormat="1" applyFont="1" applyBorder="1" applyAlignment="1">
      <alignment horizontal="center" vertical="center" wrapText="1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17" xfId="0" applyFont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 horizontal="left" vertical="center" wrapText="1"/>
    </xf>
    <xf numFmtId="4" fontId="111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1" fontId="111" fillId="0" borderId="10" xfId="0" applyNumberFormat="1" applyFont="1" applyFill="1" applyBorder="1" applyAlignment="1">
      <alignment horizontal="center" vertical="center" wrapText="1"/>
    </xf>
    <xf numFmtId="4" fontId="111" fillId="0" borderId="43" xfId="0" applyNumberFormat="1" applyFont="1" applyFill="1" applyBorder="1" applyAlignment="1">
      <alignment horizontal="center" vertical="center" wrapText="1"/>
    </xf>
    <xf numFmtId="4" fontId="111" fillId="0" borderId="44" xfId="0" applyNumberFormat="1" applyFont="1" applyFill="1" applyBorder="1" applyAlignment="1">
      <alignment horizontal="center" vertical="center" wrapText="1"/>
    </xf>
    <xf numFmtId="4" fontId="111" fillId="0" borderId="26" xfId="0" applyNumberFormat="1" applyFont="1" applyFill="1" applyBorder="1" applyAlignment="1">
      <alignment horizontal="center" vertical="center" wrapText="1"/>
    </xf>
    <xf numFmtId="4" fontId="111" fillId="0" borderId="19" xfId="0" applyNumberFormat="1" applyFont="1" applyFill="1" applyBorder="1" applyAlignment="1">
      <alignment horizontal="center" vertical="center" wrapText="1"/>
    </xf>
    <xf numFmtId="4" fontId="111" fillId="0" borderId="20" xfId="0" applyNumberFormat="1" applyFont="1" applyFill="1" applyBorder="1" applyAlignment="1">
      <alignment horizontal="center" vertical="center" wrapText="1"/>
    </xf>
    <xf numFmtId="1" fontId="111" fillId="0" borderId="19" xfId="0" applyNumberFormat="1" applyFont="1" applyFill="1" applyBorder="1" applyAlignment="1">
      <alignment horizontal="center" vertical="center" wrapText="1"/>
    </xf>
    <xf numFmtId="1" fontId="111" fillId="0" borderId="42" xfId="0" applyNumberFormat="1" applyFont="1" applyFill="1" applyBorder="1" applyAlignment="1">
      <alignment horizontal="center" vertical="center" wrapText="1"/>
    </xf>
    <xf numFmtId="1" fontId="111" fillId="0" borderId="20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4" fontId="55" fillId="0" borderId="42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Fill="1" applyBorder="1" applyAlignment="1">
      <alignment horizontal="center" vertical="center" wrapText="1"/>
    </xf>
    <xf numFmtId="191" fontId="111" fillId="0" borderId="10" xfId="0" applyNumberFormat="1" applyFont="1" applyFill="1" applyBorder="1" applyAlignment="1">
      <alignment horizontal="center" vertical="center" wrapText="1"/>
    </xf>
    <xf numFmtId="4" fontId="118" fillId="0" borderId="47" xfId="0" applyNumberFormat="1" applyFont="1" applyFill="1" applyBorder="1" applyAlignment="1">
      <alignment horizontal="center" vertical="center" wrapText="1"/>
    </xf>
    <xf numFmtId="4" fontId="118" fillId="0" borderId="22" xfId="0" applyNumberFormat="1" applyFont="1" applyFill="1" applyBorder="1" applyAlignment="1">
      <alignment horizontal="center" vertical="center" wrapText="1"/>
    </xf>
    <xf numFmtId="4" fontId="118" fillId="0" borderId="21" xfId="0" applyNumberFormat="1" applyFont="1" applyFill="1" applyBorder="1" applyAlignment="1">
      <alignment horizontal="center" vertical="center" wrapText="1"/>
    </xf>
    <xf numFmtId="3" fontId="56" fillId="0" borderId="16" xfId="0" applyNumberFormat="1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>
      <alignment horizontal="center" vertical="center" wrapText="1"/>
    </xf>
    <xf numFmtId="3" fontId="56" fillId="0" borderId="18" xfId="0" applyNumberFormat="1" applyFont="1" applyFill="1" applyBorder="1" applyAlignment="1">
      <alignment horizontal="center" vertical="center" wrapText="1"/>
    </xf>
    <xf numFmtId="4" fontId="118" fillId="0" borderId="16" xfId="0" applyNumberFormat="1" applyFont="1" applyFill="1" applyBorder="1" applyAlignment="1">
      <alignment horizontal="center" vertical="center" wrapText="1"/>
    </xf>
    <xf numFmtId="4" fontId="118" fillId="0" borderId="17" xfId="0" applyNumberFormat="1" applyFont="1" applyFill="1" applyBorder="1" applyAlignment="1">
      <alignment horizontal="center" vertical="center" wrapText="1"/>
    </xf>
    <xf numFmtId="4" fontId="118" fillId="0" borderId="18" xfId="0" applyNumberFormat="1" applyFont="1" applyFill="1" applyBorder="1" applyAlignment="1">
      <alignment horizontal="center" vertical="center" wrapText="1"/>
    </xf>
    <xf numFmtId="192" fontId="111" fillId="0" borderId="19" xfId="0" applyNumberFormat="1" applyFont="1" applyFill="1" applyBorder="1" applyAlignment="1">
      <alignment horizontal="center" vertical="center" wrapText="1"/>
    </xf>
    <xf numFmtId="192" fontId="111" fillId="0" borderId="42" xfId="0" applyNumberFormat="1" applyFont="1" applyFill="1" applyBorder="1" applyAlignment="1">
      <alignment horizontal="center" vertical="center" wrapText="1"/>
    </xf>
    <xf numFmtId="192" fontId="111" fillId="0" borderId="20" xfId="0" applyNumberFormat="1" applyFont="1" applyFill="1" applyBorder="1" applyAlignment="1">
      <alignment horizontal="center" vertical="center" wrapText="1"/>
    </xf>
    <xf numFmtId="4" fontId="111" fillId="0" borderId="42" xfId="0" applyNumberFormat="1" applyFont="1" applyFill="1" applyBorder="1" applyAlignment="1">
      <alignment horizontal="center" vertical="center" wrapText="1"/>
    </xf>
  </cellXfs>
  <cellStyles count="1003">
    <cellStyle name="_2005_БЮДЖЕТ В4 ==11.11.==  КР Дороги, Мосты" xfId="2"/>
    <cellStyle name="_2006_06_28_MGRES_inventories_request" xfId="3"/>
    <cellStyle name="_EKSPERT" xfId="963"/>
    <cellStyle name="_forma_rascheta_effectivnosti_proekta (00174077$$$)" xfId="4"/>
    <cellStyle name="_Альбом  от 25.08.06 недействующая редакция" xfId="599"/>
    <cellStyle name="_Альбом бюджетных форм   от 23.08.05" xfId="600"/>
    <cellStyle name="_Альбом бюджетных форм   от 25.08.05" xfId="601"/>
    <cellStyle name="_Альбом бюджетных форм от 18.07.06" xfId="602"/>
    <cellStyle name="_амортизация 2007-2008" xfId="964"/>
    <cellStyle name="_Анализ КТП_регионы" xfId="5"/>
    <cellStyle name="_АРМ_БП_РСК_V6.1.unprotec" xfId="603"/>
    <cellStyle name="_Бюджетные формы.Расходы v.3.1" xfId="604"/>
    <cellStyle name="_выручка по присоединениям2" xfId="605"/>
    <cellStyle name="_Запрос-Сети-дох-22-12" xfId="6"/>
    <cellStyle name="_Затратный СШГЭС  14 11 2004" xfId="7"/>
    <cellStyle name="_Инвест ТЗ" xfId="606"/>
    <cellStyle name="_Инвест ТЗ АВТОМАТИЗАЦИЯ  1.06.06   Ф" xfId="607"/>
    <cellStyle name="_Инвест ТЗ АВТОМАТИЗАЦИЯ  31.05.06   Ф нов" xfId="608"/>
    <cellStyle name="_Индексация исторических затрат" xfId="8"/>
    <cellStyle name="_ИП 17032006" xfId="9"/>
    <cellStyle name="_ИП СО 2006-2010 отпр 22 01 07" xfId="10"/>
    <cellStyle name="_ИП ФСК 10_10_07 куцанкиной" xfId="11"/>
    <cellStyle name="_ИП ФСК на 2008-2012 17 12 071" xfId="12"/>
    <cellStyle name="_ИПР Холдинга (от Шаркевич) (00137FFF$$$)" xfId="13"/>
    <cellStyle name="_источники инв программы_Комиэнерго" xfId="14"/>
    <cellStyle name="_Калькуляции по ТП 2009" xfId="979"/>
    <cellStyle name="_Классификаторы" xfId="609"/>
    <cellStyle name="_классификаторы УБМ (изменения)" xfId="610"/>
    <cellStyle name="_Книга1" xfId="611"/>
    <cellStyle name="_Книга1 2" xfId="612"/>
    <cellStyle name="_Книга1_Копия АРМ_БП_РСК_V10 0_20100213" xfId="613"/>
    <cellStyle name="_Книга1_Копия АРМ_БП_РСК_V10 0_20100213 2" xfId="614"/>
    <cellStyle name="_Книга5" xfId="615"/>
    <cellStyle name="_Копия Прил 2(Показатели ИП)" xfId="15"/>
    <cellStyle name="_Лист Microsoft Excel" xfId="16"/>
    <cellStyle name="_Макет-финансирование" xfId="17"/>
    <cellStyle name="_Плановая протяженность Января" xfId="18"/>
    <cellStyle name="_Прил 4_Формат-РСК_29.11.06_new finalприм" xfId="616"/>
    <cellStyle name="_Прил1-1 (МГИ) (Дубинину) 22 01 07" xfId="19"/>
    <cellStyle name="_Прилож.№4(ввод мощн.) август" xfId="20"/>
    <cellStyle name="_ПРИЛОЖЕНИЕ  _24 2009- 2013 (09.02.2009) (0016F046033)" xfId="21"/>
    <cellStyle name="_Приложение №5а_перегруппировка МРСК СЗ" xfId="22"/>
    <cellStyle name="_Программа СО 7-09 для СД от 29 марта" xfId="23"/>
    <cellStyle name="_Производств-е показатели ЮНГ на 2005 на 49700 для согласования" xfId="24"/>
    <cellStyle name="_Расчет ВВ подстанций" xfId="25"/>
    <cellStyle name="_Расчет ВЛ таб.формата 12 рыба" xfId="26"/>
    <cellStyle name="_Расчет на 2008 год" xfId="965"/>
    <cellStyle name="_Расчет нормативной численности на вновь вводимые обьекты" xfId="617"/>
    <cellStyle name="_Расшифровка по приоритетам_МРСК 2" xfId="27"/>
    <cellStyle name="_СВОДНЫЙ ОТЧЕТ" xfId="28"/>
    <cellStyle name="_Сергееву_тех х-ки_18.11" xfId="29"/>
    <cellStyle name="_СО 2006-2010  Прил1-1 (Дубинину)" xfId="30"/>
    <cellStyle name="_СЭИ Программа ПР на 09-11г от 26.10.2008г 12-45 " xfId="966"/>
    <cellStyle name="_Табл П2-5 (вар18-10-2006)" xfId="31"/>
    <cellStyle name="_Узлы учета_10.08" xfId="32"/>
    <cellStyle name="_Форма исх." xfId="33"/>
    <cellStyle name="_Форма Приложения 16" xfId="34"/>
    <cellStyle name="_Формат ДПН (предложения ФСК) 01.02.08г. Сравнение" xfId="618"/>
    <cellStyle name="_Формат укрупненного расчета стоимости строительства (реконструкции) объекта ПЭС" xfId="35"/>
    <cellStyle name="_Формат-РСК_2007_12 02 06_м" xfId="619"/>
    <cellStyle name="_Формы 6,7,КС-ввод" xfId="36"/>
    <cellStyle name="_ФОТ 2010 Техприсоединение" xfId="980"/>
    <cellStyle name="_ФОТ 2010 Техприсоединение1" xfId="981"/>
    <cellStyle name="_ХОЛДИНГ_МРСК_09 10 2008" xfId="37"/>
    <cellStyle name="_шаблон сети от системщиков(дима)" xfId="967"/>
    <cellStyle name="”ќђќ‘ћ‚›‰" xfId="620"/>
    <cellStyle name="”љ‘ђћ‚ђќќ›‰" xfId="621"/>
    <cellStyle name="„…ќ…†ќ›‰" xfId="622"/>
    <cellStyle name="‡ђѓћ‹ћ‚ћљ1" xfId="623"/>
    <cellStyle name="‡ђѓћ‹ћ‚ћљ2" xfId="624"/>
    <cellStyle name="’ћѓћ‚›‰" xfId="625"/>
    <cellStyle name="1" xfId="968"/>
    <cellStyle name="1_EKSPERT" xfId="969"/>
    <cellStyle name="1Normal" xfId="38"/>
    <cellStyle name="1Normal 2" xfId="626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Акцент1 10" xfId="45"/>
    <cellStyle name="20% - Акцент1 2" xfId="46"/>
    <cellStyle name="20% - Акцент1 2 2" xfId="627"/>
    <cellStyle name="20% - Акцент1 2 3" xfId="628"/>
    <cellStyle name="20% - Акцент1 2 4" xfId="629"/>
    <cellStyle name="20% - Акцент1 2 5" xfId="630"/>
    <cellStyle name="20% - Акцент1 2 6" xfId="631"/>
    <cellStyle name="20% - Акцент1 3" xfId="47"/>
    <cellStyle name="20% - Акцент1 4" xfId="48"/>
    <cellStyle name="20% - Акцент1 5" xfId="49"/>
    <cellStyle name="20% - Акцент1 6" xfId="50"/>
    <cellStyle name="20% - Акцент1 7" xfId="51"/>
    <cellStyle name="20% - Акцент1 8" xfId="52"/>
    <cellStyle name="20% - Акцент1 9" xfId="53"/>
    <cellStyle name="20% - Акцент2 10" xfId="54"/>
    <cellStyle name="20% - Акцент2 2" xfId="55"/>
    <cellStyle name="20% - Акцент2 2 2" xfId="632"/>
    <cellStyle name="20% - Акцент2 2 3" xfId="633"/>
    <cellStyle name="20% - Акцент2 2 4" xfId="634"/>
    <cellStyle name="20% - Акцент2 2 5" xfId="635"/>
    <cellStyle name="20% - Акцент2 2 6" xfId="636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 10" xfId="63"/>
    <cellStyle name="20% - Акцент3 2" xfId="64"/>
    <cellStyle name="20% - Акцент3 2 2" xfId="637"/>
    <cellStyle name="20% - Акцент3 2 3" xfId="638"/>
    <cellStyle name="20% - Акцент3 2 4" xfId="639"/>
    <cellStyle name="20% - Акцент3 2 5" xfId="640"/>
    <cellStyle name="20% - Акцент3 2 6" xfId="641"/>
    <cellStyle name="20% - Акцент3 3" xfId="65"/>
    <cellStyle name="20% - Акцент3 4" xfId="66"/>
    <cellStyle name="20% - Акцент3 5" xfId="67"/>
    <cellStyle name="20% - Акцент3 6" xfId="68"/>
    <cellStyle name="20% - Акцент3 7" xfId="69"/>
    <cellStyle name="20% - Акцент3 8" xfId="70"/>
    <cellStyle name="20% - Акцент3 9" xfId="71"/>
    <cellStyle name="20% - Акцент4 10" xfId="72"/>
    <cellStyle name="20% - Акцент4 2" xfId="73"/>
    <cellStyle name="20% - Акцент4 2 2" xfId="642"/>
    <cellStyle name="20% - Акцент4 2 3" xfId="643"/>
    <cellStyle name="20% - Акцент4 2 4" xfId="644"/>
    <cellStyle name="20% - Акцент4 2 5" xfId="645"/>
    <cellStyle name="20% - Акцент4 2 6" xfId="646"/>
    <cellStyle name="20% - Акцент4 3" xfId="74"/>
    <cellStyle name="20% - Акцент4 4" xfId="75"/>
    <cellStyle name="20% - Акцент4 5" xfId="76"/>
    <cellStyle name="20% - Акцент4 6" xfId="77"/>
    <cellStyle name="20% - Акцент4 7" xfId="78"/>
    <cellStyle name="20% - Акцент4 8" xfId="79"/>
    <cellStyle name="20% - Акцент4 9" xfId="80"/>
    <cellStyle name="20% - Акцент5 10" xfId="81"/>
    <cellStyle name="20% - Акцент5 2" xfId="82"/>
    <cellStyle name="20% - Акцент5 2 2" xfId="647"/>
    <cellStyle name="20% - Акцент5 2 3" xfId="648"/>
    <cellStyle name="20% - Акцент5 2 4" xfId="649"/>
    <cellStyle name="20% - Акцент5 2 5" xfId="650"/>
    <cellStyle name="20% - Акцент5 2 6" xfId="651"/>
    <cellStyle name="20% - Акцент5 3" xfId="83"/>
    <cellStyle name="20% - Акцент5 4" xfId="84"/>
    <cellStyle name="20% - Акцент5 5" xfId="85"/>
    <cellStyle name="20% - Акцент5 6" xfId="86"/>
    <cellStyle name="20% - Акцент5 7" xfId="87"/>
    <cellStyle name="20% - Акцент5 8" xfId="88"/>
    <cellStyle name="20% - Акцент5 9" xfId="89"/>
    <cellStyle name="20% - Акцент6 10" xfId="90"/>
    <cellStyle name="20% - Акцент6 2" xfId="91"/>
    <cellStyle name="20% - Акцент6 2 2" xfId="652"/>
    <cellStyle name="20% - Акцент6 2 3" xfId="653"/>
    <cellStyle name="20% - Акцент6 2 4" xfId="654"/>
    <cellStyle name="20% - Акцент6 2 5" xfId="655"/>
    <cellStyle name="20% - Акцент6 2 6" xfId="656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- Акцент1 10" xfId="105"/>
    <cellStyle name="40% - Акцент1 2" xfId="106"/>
    <cellStyle name="40% - Акцент1 2 2" xfId="657"/>
    <cellStyle name="40% - Акцент1 2 3" xfId="658"/>
    <cellStyle name="40% - Акцент1 2 4" xfId="659"/>
    <cellStyle name="40% - Акцент1 2 5" xfId="660"/>
    <cellStyle name="40% - Акцент1 2 6" xfId="661"/>
    <cellStyle name="40% - Акцент1 3" xfId="107"/>
    <cellStyle name="40% - Акцент1 4" xfId="108"/>
    <cellStyle name="40% - Акцент1 5" xfId="109"/>
    <cellStyle name="40% - Акцент1 6" xfId="110"/>
    <cellStyle name="40% - Акцент1 7" xfId="111"/>
    <cellStyle name="40% - Акцент1 8" xfId="112"/>
    <cellStyle name="40% - Акцент1 9" xfId="113"/>
    <cellStyle name="40% - Акцент2 10" xfId="114"/>
    <cellStyle name="40% - Акцент2 2" xfId="115"/>
    <cellStyle name="40% - Акцент2 2 2" xfId="662"/>
    <cellStyle name="40% - Акцент2 2 3" xfId="663"/>
    <cellStyle name="40% - Акцент2 2 4" xfId="664"/>
    <cellStyle name="40% - Акцент2 2 5" xfId="665"/>
    <cellStyle name="40% - Акцент2 2 6" xfId="666"/>
    <cellStyle name="40% - Акцент2 3" xfId="116"/>
    <cellStyle name="40% - Акцент2 4" xfId="117"/>
    <cellStyle name="40% - Акцент2 5" xfId="118"/>
    <cellStyle name="40% - Акцент2 6" xfId="119"/>
    <cellStyle name="40% - Акцент2 7" xfId="120"/>
    <cellStyle name="40% - Акцент2 8" xfId="121"/>
    <cellStyle name="40% - Акцент2 9" xfId="122"/>
    <cellStyle name="40% - Акцент3 10" xfId="123"/>
    <cellStyle name="40% - Акцент3 2" xfId="124"/>
    <cellStyle name="40% - Акцент3 2 2" xfId="667"/>
    <cellStyle name="40% - Акцент3 2 3" xfId="668"/>
    <cellStyle name="40% - Акцент3 2 4" xfId="669"/>
    <cellStyle name="40% - Акцент3 2 5" xfId="670"/>
    <cellStyle name="40% - Акцент3 2 6" xfId="671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 10" xfId="132"/>
    <cellStyle name="40% - Акцент4 2" xfId="133"/>
    <cellStyle name="40% - Акцент4 2 2" xfId="672"/>
    <cellStyle name="40% - Акцент4 2 3" xfId="673"/>
    <cellStyle name="40% - Акцент4 2 4" xfId="674"/>
    <cellStyle name="40% - Акцент4 2 5" xfId="675"/>
    <cellStyle name="40% - Акцент4 2 6" xfId="676"/>
    <cellStyle name="40% - Акцент4 3" xfId="134"/>
    <cellStyle name="40% - Акцент4 4" xfId="135"/>
    <cellStyle name="40% - Акцент4 5" xfId="136"/>
    <cellStyle name="40% - Акцент4 6" xfId="137"/>
    <cellStyle name="40% - Акцент4 7" xfId="138"/>
    <cellStyle name="40% - Акцент4 8" xfId="139"/>
    <cellStyle name="40% - Акцент4 9" xfId="140"/>
    <cellStyle name="40% - Акцент5 10" xfId="141"/>
    <cellStyle name="40% - Акцент5 2" xfId="142"/>
    <cellStyle name="40% - Акцент5 2 2" xfId="677"/>
    <cellStyle name="40% - Акцент5 2 3" xfId="678"/>
    <cellStyle name="40% - Акцент5 2 4" xfId="679"/>
    <cellStyle name="40% - Акцент5 2 5" xfId="680"/>
    <cellStyle name="40% - Акцент5 2 6" xfId="681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6 10" xfId="150"/>
    <cellStyle name="40% - Акцент6 2" xfId="151"/>
    <cellStyle name="40% - Акцент6 2 2" xfId="682"/>
    <cellStyle name="40% - Акцент6 2 3" xfId="683"/>
    <cellStyle name="40% - Акцент6 2 4" xfId="684"/>
    <cellStyle name="40% - Акцент6 2 5" xfId="685"/>
    <cellStyle name="40% - Акцент6 2 6" xfId="686"/>
    <cellStyle name="40% - Акцент6 3" xfId="152"/>
    <cellStyle name="40% - Акцент6 4" xfId="153"/>
    <cellStyle name="40% - Акцент6 5" xfId="154"/>
    <cellStyle name="40% - Акцент6 6" xfId="155"/>
    <cellStyle name="40% - Акцент6 7" xfId="156"/>
    <cellStyle name="40% - Акцент6 8" xfId="157"/>
    <cellStyle name="40% - Акцент6 9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Акцент1 10" xfId="165"/>
    <cellStyle name="60% - Акцент1 2" xfId="166"/>
    <cellStyle name="60% - Акцент1 2 2" xfId="687"/>
    <cellStyle name="60% - Акцент1 2 3" xfId="688"/>
    <cellStyle name="60% - Акцент1 2 4" xfId="689"/>
    <cellStyle name="60% - Акцент1 2 5" xfId="690"/>
    <cellStyle name="60% - Акцент1 2 6" xfId="691"/>
    <cellStyle name="60% - Акцент1 3" xfId="167"/>
    <cellStyle name="60% - Акцент1 4" xfId="168"/>
    <cellStyle name="60% - Акцент1 5" xfId="169"/>
    <cellStyle name="60% - Акцент1 6" xfId="170"/>
    <cellStyle name="60% - Акцент1 7" xfId="171"/>
    <cellStyle name="60% - Акцент1 8" xfId="172"/>
    <cellStyle name="60% - Акцент1 9" xfId="173"/>
    <cellStyle name="60% - Акцент2 10" xfId="174"/>
    <cellStyle name="60% - Акцент2 2" xfId="175"/>
    <cellStyle name="60% - Акцент2 2 2" xfId="692"/>
    <cellStyle name="60% - Акцент2 2 3" xfId="693"/>
    <cellStyle name="60% - Акцент2 2 4" xfId="694"/>
    <cellStyle name="60% - Акцент2 2 5" xfId="695"/>
    <cellStyle name="60% - Акцент2 2 6" xfId="696"/>
    <cellStyle name="60% - Акцент2 3" xfId="176"/>
    <cellStyle name="60% - Акцент2 4" xfId="177"/>
    <cellStyle name="60% - Акцент2 5" xfId="178"/>
    <cellStyle name="60% - Акцент2 6" xfId="179"/>
    <cellStyle name="60% - Акцент2 7" xfId="180"/>
    <cellStyle name="60% - Акцент2 8" xfId="181"/>
    <cellStyle name="60% - Акцент2 9" xfId="182"/>
    <cellStyle name="60% - Акцент3 10" xfId="183"/>
    <cellStyle name="60% - Акцент3 2" xfId="184"/>
    <cellStyle name="60% - Акцент3 2 2" xfId="697"/>
    <cellStyle name="60% - Акцент3 2 3" xfId="698"/>
    <cellStyle name="60% - Акцент3 2 4" xfId="699"/>
    <cellStyle name="60% - Акцент3 2 5" xfId="700"/>
    <cellStyle name="60% - Акцент3 2 6" xfId="701"/>
    <cellStyle name="60% - Акцент3 3" xfId="185"/>
    <cellStyle name="60% - Акцент3 4" xfId="186"/>
    <cellStyle name="60% - Акцент3 5" xfId="187"/>
    <cellStyle name="60% - Акцент3 6" xfId="188"/>
    <cellStyle name="60% - Акцент3 7" xfId="189"/>
    <cellStyle name="60% - Акцент3 8" xfId="190"/>
    <cellStyle name="60% - Акцент3 9" xfId="191"/>
    <cellStyle name="60% - Акцент4 10" xfId="192"/>
    <cellStyle name="60% - Акцент4 2" xfId="193"/>
    <cellStyle name="60% - Акцент4 2 2" xfId="702"/>
    <cellStyle name="60% - Акцент4 2 3" xfId="703"/>
    <cellStyle name="60% - Акцент4 2 4" xfId="704"/>
    <cellStyle name="60% - Акцент4 2 5" xfId="705"/>
    <cellStyle name="60% - Акцент4 2 6" xfId="706"/>
    <cellStyle name="60% - Акцент4 3" xfId="194"/>
    <cellStyle name="60% - Акцент4 4" xfId="195"/>
    <cellStyle name="60% - Акцент4 5" xfId="196"/>
    <cellStyle name="60% - Акцент4 6" xfId="197"/>
    <cellStyle name="60% - Акцент4 7" xfId="198"/>
    <cellStyle name="60% - Акцент4 8" xfId="199"/>
    <cellStyle name="60% - Акцент4 9" xfId="200"/>
    <cellStyle name="60% - Акцент5 10" xfId="201"/>
    <cellStyle name="60% - Акцент5 2" xfId="202"/>
    <cellStyle name="60% - Акцент5 2 2" xfId="707"/>
    <cellStyle name="60% - Акцент5 2 3" xfId="708"/>
    <cellStyle name="60% - Акцент5 2 4" xfId="709"/>
    <cellStyle name="60% - Акцент5 2 5" xfId="710"/>
    <cellStyle name="60% - Акцент5 2 6" xfId="711"/>
    <cellStyle name="60% - Акцент5 3" xfId="203"/>
    <cellStyle name="60% - Акцент5 4" xfId="204"/>
    <cellStyle name="60% - Акцент5 5" xfId="205"/>
    <cellStyle name="60% - Акцент5 6" xfId="206"/>
    <cellStyle name="60% - Акцент5 7" xfId="207"/>
    <cellStyle name="60% - Акцент5 8" xfId="208"/>
    <cellStyle name="60% - Акцент5 9" xfId="209"/>
    <cellStyle name="60% - Акцент6 10" xfId="210"/>
    <cellStyle name="60% - Акцент6 2" xfId="211"/>
    <cellStyle name="60% - Акцент6 2 2" xfId="712"/>
    <cellStyle name="60% - Акцент6 2 3" xfId="713"/>
    <cellStyle name="60% - Акцент6 2 4" xfId="714"/>
    <cellStyle name="60% - Акцент6 2 5" xfId="715"/>
    <cellStyle name="60% - Акцент6 2 6" xfId="716"/>
    <cellStyle name="60% - Акцент6 3" xfId="212"/>
    <cellStyle name="60% - Акцент6 4" xfId="213"/>
    <cellStyle name="60% - Акцент6 5" xfId="214"/>
    <cellStyle name="60% - Акцент6 6" xfId="215"/>
    <cellStyle name="60% - Акцент6 7" xfId="216"/>
    <cellStyle name="60% - Акцент6 8" xfId="217"/>
    <cellStyle name="60% - Акцент6 9" xfId="218"/>
    <cellStyle name="Accent1" xfId="219"/>
    <cellStyle name="Accent2" xfId="220"/>
    <cellStyle name="Accent3" xfId="221"/>
    <cellStyle name="Accent4" xfId="222"/>
    <cellStyle name="Accent5" xfId="223"/>
    <cellStyle name="Accent6" xfId="224"/>
    <cellStyle name="alternate" xfId="225"/>
    <cellStyle name="Bad" xfId="226"/>
    <cellStyle name="Calculation" xfId="227"/>
    <cellStyle name="Check" xfId="228"/>
    <cellStyle name="Check Cell" xfId="229"/>
    <cellStyle name="Comma [0]" xfId="230"/>
    <cellStyle name="Comma_275, 64MB" xfId="717"/>
    <cellStyle name="Comma0" xfId="231"/>
    <cellStyle name="Comma0 2" xfId="718"/>
    <cellStyle name="Currency [0]" xfId="232"/>
    <cellStyle name="Currency [0] 2" xfId="719"/>
    <cellStyle name="Currency [0] 3" xfId="989"/>
    <cellStyle name="Currency_275, 64MB" xfId="720"/>
    <cellStyle name="Currency0" xfId="721"/>
    <cellStyle name="Date" xfId="233"/>
    <cellStyle name="Date 2" xfId="722"/>
    <cellStyle name="Deviant" xfId="234"/>
    <cellStyle name="done" xfId="235"/>
    <cellStyle name="Dziesiêtny [0]_1" xfId="236"/>
    <cellStyle name="Dziesiêtny_1" xfId="237"/>
    <cellStyle name="Euro" xfId="238"/>
    <cellStyle name="Explanatory Text" xfId="239"/>
    <cellStyle name="Factor" xfId="240"/>
    <cellStyle name="Fixed" xfId="723"/>
    <cellStyle name="From" xfId="241"/>
    <cellStyle name="Good" xfId="242"/>
    <cellStyle name="Grey" xfId="243"/>
    <cellStyle name="Head 1" xfId="724"/>
    <cellStyle name="Header1" xfId="244"/>
    <cellStyle name="header1 2" xfId="725"/>
    <cellStyle name="Header2" xfId="245"/>
    <cellStyle name="header2 2" xfId="726"/>
    <cellStyle name="Heading 1" xfId="246"/>
    <cellStyle name="Heading 1 2" xfId="727"/>
    <cellStyle name="Heading 2" xfId="247"/>
    <cellStyle name="Heading 2 2" xfId="728"/>
    <cellStyle name="Heading 3" xfId="248"/>
    <cellStyle name="Heading 4" xfId="249"/>
    <cellStyle name="Headline I" xfId="729"/>
    <cellStyle name="Headline II" xfId="730"/>
    <cellStyle name="Headline III" xfId="731"/>
    <cellStyle name="Hyperlink_Info gathering example (hydro)" xfId="250"/>
    <cellStyle name="Iau?iue_?iardu1999a" xfId="251"/>
    <cellStyle name="Input" xfId="252"/>
    <cellStyle name="Input [yellow]" xfId="253"/>
    <cellStyle name="Linked Cell" xfId="254"/>
    <cellStyle name="Milliers [0]_Fonctions Macros XL4" xfId="732"/>
    <cellStyle name="Milliers_Fonctions Macros XL4" xfId="733"/>
    <cellStyle name="Neutral" xfId="255"/>
    <cellStyle name="Norma11l" xfId="256"/>
    <cellStyle name="Norma11l 2" xfId="734"/>
    <cellStyle name="Normal - Style1" xfId="257"/>
    <cellStyle name="Normal_! Приложение_Сбор инфо" xfId="258"/>
    <cellStyle name="Normal1" xfId="735"/>
    <cellStyle name="normální_Rozvaha - aktiva" xfId="259"/>
    <cellStyle name="Normalny_0" xfId="260"/>
    <cellStyle name="normбlnм_laroux" xfId="261"/>
    <cellStyle name="Note" xfId="262"/>
    <cellStyle name="Nun??c [0]_Ecnn1" xfId="263"/>
    <cellStyle name="Nun??c_Ecnn1" xfId="264"/>
    <cellStyle name="Ociriniaue [0]_laroux" xfId="265"/>
    <cellStyle name="Ociriniaue_laroux" xfId="266"/>
    <cellStyle name="Output" xfId="267"/>
    <cellStyle name="Percent [2]" xfId="268"/>
    <cellStyle name="Price_Body" xfId="736"/>
    <cellStyle name="S31" xfId="269"/>
    <cellStyle name="SAPBEXaggData" xfId="737"/>
    <cellStyle name="SAPBEXaggDataEmph" xfId="738"/>
    <cellStyle name="SAPBEXaggItem" xfId="739"/>
    <cellStyle name="SAPBEXaggItemX" xfId="740"/>
    <cellStyle name="SAPBEXchaText" xfId="741"/>
    <cellStyle name="SAPBEXexcBad7" xfId="742"/>
    <cellStyle name="SAPBEXexcBad8" xfId="743"/>
    <cellStyle name="SAPBEXexcBad9" xfId="744"/>
    <cellStyle name="SAPBEXexcCritical4" xfId="745"/>
    <cellStyle name="SAPBEXexcCritical5" xfId="746"/>
    <cellStyle name="SAPBEXexcCritical6" xfId="747"/>
    <cellStyle name="SAPBEXexcGood1" xfId="748"/>
    <cellStyle name="SAPBEXexcGood2" xfId="749"/>
    <cellStyle name="SAPBEXexcGood3" xfId="750"/>
    <cellStyle name="SAPBEXfilterDrill" xfId="751"/>
    <cellStyle name="SAPBEXfilterItem" xfId="752"/>
    <cellStyle name="SAPBEXfilterText" xfId="753"/>
    <cellStyle name="SAPBEXformats" xfId="754"/>
    <cellStyle name="SAPBEXheaderItem" xfId="755"/>
    <cellStyle name="SAPBEXheaderText" xfId="756"/>
    <cellStyle name="SAPBEXHLevel0" xfId="757"/>
    <cellStyle name="SAPBEXHLevel0X" xfId="758"/>
    <cellStyle name="SAPBEXHLevel1" xfId="759"/>
    <cellStyle name="SAPBEXHLevel1X" xfId="760"/>
    <cellStyle name="SAPBEXHLevel2" xfId="761"/>
    <cellStyle name="SAPBEXHLevel2X" xfId="762"/>
    <cellStyle name="SAPBEXHLevel3" xfId="763"/>
    <cellStyle name="SAPBEXHLevel3X" xfId="764"/>
    <cellStyle name="SAPBEXresData" xfId="765"/>
    <cellStyle name="SAPBEXresDataEmph" xfId="766"/>
    <cellStyle name="SAPBEXresItem" xfId="767"/>
    <cellStyle name="SAPBEXresItemX" xfId="768"/>
    <cellStyle name="SAPBEXstdData" xfId="769"/>
    <cellStyle name="SAPBEXstdDataEmph" xfId="770"/>
    <cellStyle name="SAPBEXstdItem" xfId="771"/>
    <cellStyle name="SAPBEXstdItemX" xfId="772"/>
    <cellStyle name="SAPBEXtitle" xfId="773"/>
    <cellStyle name="SAPBEXundefined" xfId="774"/>
    <cellStyle name="SEM-BPS-data" xfId="775"/>
    <cellStyle name="SEM-BPS-head" xfId="776"/>
    <cellStyle name="SEM-BPS-headdata" xfId="777"/>
    <cellStyle name="SEM-BPS-headkey" xfId="778"/>
    <cellStyle name="SEM-BPS-input-on" xfId="779"/>
    <cellStyle name="SEM-BPS-key" xfId="780"/>
    <cellStyle name="SEM-BPS-sub1" xfId="781"/>
    <cellStyle name="SEM-BPS-sub2" xfId="782"/>
    <cellStyle name="SEM-BPS-total" xfId="783"/>
    <cellStyle name="stand_bord" xfId="784"/>
    <cellStyle name="STYLE1 - Style1" xfId="270"/>
    <cellStyle name="Title" xfId="271"/>
    <cellStyle name="To" xfId="272"/>
    <cellStyle name="Total" xfId="273"/>
    <cellStyle name="Total 2" xfId="785"/>
    <cellStyle name="Währung [0]_laroux" xfId="274"/>
    <cellStyle name="Währung_laroux" xfId="275"/>
    <cellStyle name="Walutowy [0]_1" xfId="276"/>
    <cellStyle name="Walutowy_1" xfId="277"/>
    <cellStyle name="Warning Text" xfId="278"/>
    <cellStyle name="WIP" xfId="279"/>
    <cellStyle name="Zero" xfId="280"/>
    <cellStyle name="Акцент1 10" xfId="281"/>
    <cellStyle name="Акцент1 2" xfId="282"/>
    <cellStyle name="Акцент1 2 2" xfId="786"/>
    <cellStyle name="Акцент1 2 3" xfId="787"/>
    <cellStyle name="Акцент1 2 4" xfId="788"/>
    <cellStyle name="Акцент1 2 5" xfId="789"/>
    <cellStyle name="Акцент1 2 6" xfId="790"/>
    <cellStyle name="Акцент1 3" xfId="283"/>
    <cellStyle name="Акцент1 4" xfId="284"/>
    <cellStyle name="Акцент1 5" xfId="285"/>
    <cellStyle name="Акцент1 6" xfId="286"/>
    <cellStyle name="Акцент1 7" xfId="287"/>
    <cellStyle name="Акцент1 8" xfId="288"/>
    <cellStyle name="Акцент1 9" xfId="289"/>
    <cellStyle name="Акцент2 10" xfId="290"/>
    <cellStyle name="Акцент2 2" xfId="291"/>
    <cellStyle name="Акцент2 2 2" xfId="791"/>
    <cellStyle name="Акцент2 2 3" xfId="792"/>
    <cellStyle name="Акцент2 2 4" xfId="793"/>
    <cellStyle name="Акцент2 2 5" xfId="794"/>
    <cellStyle name="Акцент2 2 6" xfId="795"/>
    <cellStyle name="Акцент2 3" xfId="292"/>
    <cellStyle name="Акцент2 4" xfId="293"/>
    <cellStyle name="Акцент2 5" xfId="294"/>
    <cellStyle name="Акцент2 6" xfId="295"/>
    <cellStyle name="Акцент2 7" xfId="296"/>
    <cellStyle name="Акцент2 8" xfId="297"/>
    <cellStyle name="Акцент2 9" xfId="298"/>
    <cellStyle name="Акцент3 10" xfId="299"/>
    <cellStyle name="Акцент3 2" xfId="300"/>
    <cellStyle name="Акцент3 2 2" xfId="796"/>
    <cellStyle name="Акцент3 2 3" xfId="797"/>
    <cellStyle name="Акцент3 2 4" xfId="798"/>
    <cellStyle name="Акцент3 2 5" xfId="799"/>
    <cellStyle name="Акцент3 2 6" xfId="800"/>
    <cellStyle name="Акцент3 3" xfId="301"/>
    <cellStyle name="Акцент3 4" xfId="302"/>
    <cellStyle name="Акцент3 5" xfId="303"/>
    <cellStyle name="Акцент3 6" xfId="304"/>
    <cellStyle name="Акцент3 7" xfId="305"/>
    <cellStyle name="Акцент3 8" xfId="306"/>
    <cellStyle name="Акцент3 9" xfId="307"/>
    <cellStyle name="Акцент4 10" xfId="308"/>
    <cellStyle name="Акцент4 2" xfId="309"/>
    <cellStyle name="Акцент4 2 2" xfId="801"/>
    <cellStyle name="Акцент4 2 3" xfId="802"/>
    <cellStyle name="Акцент4 2 4" xfId="803"/>
    <cellStyle name="Акцент4 2 5" xfId="804"/>
    <cellStyle name="Акцент4 2 6" xfId="805"/>
    <cellStyle name="Акцент4 3" xfId="310"/>
    <cellStyle name="Акцент4 4" xfId="311"/>
    <cellStyle name="Акцент4 5" xfId="312"/>
    <cellStyle name="Акцент4 6" xfId="313"/>
    <cellStyle name="Акцент4 7" xfId="314"/>
    <cellStyle name="Акцент4 8" xfId="315"/>
    <cellStyle name="Акцент4 9" xfId="316"/>
    <cellStyle name="Акцент5 10" xfId="317"/>
    <cellStyle name="Акцент5 2" xfId="318"/>
    <cellStyle name="Акцент5 2 2" xfId="806"/>
    <cellStyle name="Акцент5 2 3" xfId="807"/>
    <cellStyle name="Акцент5 2 4" xfId="808"/>
    <cellStyle name="Акцент5 2 5" xfId="809"/>
    <cellStyle name="Акцент5 2 6" xfId="810"/>
    <cellStyle name="Акцент5 3" xfId="319"/>
    <cellStyle name="Акцент5 4" xfId="320"/>
    <cellStyle name="Акцент5 5" xfId="321"/>
    <cellStyle name="Акцент5 6" xfId="322"/>
    <cellStyle name="Акцент5 7" xfId="323"/>
    <cellStyle name="Акцент5 8" xfId="324"/>
    <cellStyle name="Акцент5 9" xfId="325"/>
    <cellStyle name="Акцент6 10" xfId="326"/>
    <cellStyle name="Акцент6 2" xfId="327"/>
    <cellStyle name="Акцент6 2 2" xfId="811"/>
    <cellStyle name="Акцент6 2 3" xfId="812"/>
    <cellStyle name="Акцент6 2 4" xfId="813"/>
    <cellStyle name="Акцент6 2 5" xfId="814"/>
    <cellStyle name="Акцент6 2 6" xfId="815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Беззащитный" xfId="335"/>
    <cellStyle name="Ввод  10" xfId="336"/>
    <cellStyle name="Ввод  2" xfId="337"/>
    <cellStyle name="Ввод  2 2" xfId="816"/>
    <cellStyle name="Ввод  2 3" xfId="817"/>
    <cellStyle name="Ввод  2 4" xfId="818"/>
    <cellStyle name="Ввод  2 5" xfId="819"/>
    <cellStyle name="Ввод  2 6" xfId="820"/>
    <cellStyle name="Ввод  3" xfId="338"/>
    <cellStyle name="Ввод  4" xfId="339"/>
    <cellStyle name="Ввод  5" xfId="340"/>
    <cellStyle name="Ввод  6" xfId="341"/>
    <cellStyle name="Ввод  7" xfId="342"/>
    <cellStyle name="Ввод  8" xfId="343"/>
    <cellStyle name="Ввод  9" xfId="344"/>
    <cellStyle name="Вывод 10" xfId="345"/>
    <cellStyle name="Вывод 2" xfId="346"/>
    <cellStyle name="Вывод 2 2" xfId="821"/>
    <cellStyle name="Вывод 2 3" xfId="822"/>
    <cellStyle name="Вывод 2 4" xfId="823"/>
    <cellStyle name="Вывод 2 5" xfId="824"/>
    <cellStyle name="Вывод 2 6" xfId="825"/>
    <cellStyle name="Вывод 3" xfId="347"/>
    <cellStyle name="Вывод 4" xfId="348"/>
    <cellStyle name="Вывод 5" xfId="349"/>
    <cellStyle name="Вывод 6" xfId="350"/>
    <cellStyle name="Вывод 7" xfId="351"/>
    <cellStyle name="Вывод 8" xfId="352"/>
    <cellStyle name="Вывод 9" xfId="353"/>
    <cellStyle name="Вычисление 10" xfId="354"/>
    <cellStyle name="Вычисление 2" xfId="355"/>
    <cellStyle name="Вычисление 2 2" xfId="826"/>
    <cellStyle name="Вычисление 2 3" xfId="827"/>
    <cellStyle name="Вычисление 2 4" xfId="828"/>
    <cellStyle name="Вычисление 2 5" xfId="829"/>
    <cellStyle name="Вычисление 2 6" xfId="830"/>
    <cellStyle name="Вычисление 3" xfId="356"/>
    <cellStyle name="Вычисление 4" xfId="357"/>
    <cellStyle name="Вычисление 5" xfId="358"/>
    <cellStyle name="Вычисление 6" xfId="359"/>
    <cellStyle name="Вычисление 7" xfId="360"/>
    <cellStyle name="Вычисление 8" xfId="361"/>
    <cellStyle name="Вычисление 9" xfId="362"/>
    <cellStyle name="Денежный 2" xfId="363"/>
    <cellStyle name="Денежный 3" xfId="364"/>
    <cellStyle name="Денежный 4" xfId="365"/>
    <cellStyle name="Заголовок" xfId="831"/>
    <cellStyle name="Заголовок 1 10" xfId="366"/>
    <cellStyle name="Заголовок 1 2" xfId="367"/>
    <cellStyle name="Заголовок 1 2 2" xfId="832"/>
    <cellStyle name="Заголовок 1 2 3" xfId="833"/>
    <cellStyle name="Заголовок 1 2 4" xfId="834"/>
    <cellStyle name="Заголовок 1 2 5" xfId="835"/>
    <cellStyle name="Заголовок 1 3" xfId="368"/>
    <cellStyle name="Заголовок 1 4" xfId="369"/>
    <cellStyle name="Заголовок 1 5" xfId="370"/>
    <cellStyle name="Заголовок 1 6" xfId="371"/>
    <cellStyle name="Заголовок 1 7" xfId="372"/>
    <cellStyle name="Заголовок 1 8" xfId="373"/>
    <cellStyle name="Заголовок 1 9" xfId="374"/>
    <cellStyle name="Заголовок 2 10" xfId="375"/>
    <cellStyle name="Заголовок 2 2" xfId="376"/>
    <cellStyle name="Заголовок 2 2 2" xfId="836"/>
    <cellStyle name="Заголовок 2 2 3" xfId="837"/>
    <cellStyle name="Заголовок 2 2 4" xfId="838"/>
    <cellStyle name="Заголовок 2 2 5" xfId="839"/>
    <cellStyle name="Заголовок 2 3" xfId="377"/>
    <cellStyle name="Заголовок 2 4" xfId="378"/>
    <cellStyle name="Заголовок 2 5" xfId="379"/>
    <cellStyle name="Заголовок 2 6" xfId="380"/>
    <cellStyle name="Заголовок 2 7" xfId="381"/>
    <cellStyle name="Заголовок 2 8" xfId="382"/>
    <cellStyle name="Заголовок 2 9" xfId="383"/>
    <cellStyle name="Заголовок 3 10" xfId="384"/>
    <cellStyle name="Заголовок 3 2" xfId="385"/>
    <cellStyle name="Заголовок 3 2 2" xfId="840"/>
    <cellStyle name="Заголовок 3 2 3" xfId="841"/>
    <cellStyle name="Заголовок 3 2 4" xfId="842"/>
    <cellStyle name="Заголовок 3 2 5" xfId="843"/>
    <cellStyle name="Заголовок 3 3" xfId="386"/>
    <cellStyle name="Заголовок 3 4" xfId="387"/>
    <cellStyle name="Заголовок 3 5" xfId="388"/>
    <cellStyle name="Заголовок 3 6" xfId="389"/>
    <cellStyle name="Заголовок 3 7" xfId="390"/>
    <cellStyle name="Заголовок 3 8" xfId="391"/>
    <cellStyle name="Заголовок 3 9" xfId="392"/>
    <cellStyle name="Заголовок 4 10" xfId="393"/>
    <cellStyle name="Заголовок 4 2" xfId="394"/>
    <cellStyle name="Заголовок 4 2 2" xfId="844"/>
    <cellStyle name="Заголовок 4 2 3" xfId="845"/>
    <cellStyle name="Заголовок 4 2 4" xfId="846"/>
    <cellStyle name="Заголовок 4 2 5" xfId="847"/>
    <cellStyle name="Заголовок 4 3" xfId="395"/>
    <cellStyle name="Заголовок 4 4" xfId="396"/>
    <cellStyle name="Заголовок 4 5" xfId="397"/>
    <cellStyle name="Заголовок 4 6" xfId="398"/>
    <cellStyle name="Заголовок 4 7" xfId="399"/>
    <cellStyle name="Заголовок 4 8" xfId="400"/>
    <cellStyle name="Заголовок 4 9" xfId="401"/>
    <cellStyle name="ЗаголовокСтолбца" xfId="402"/>
    <cellStyle name="Защитный" xfId="403"/>
    <cellStyle name="Значение" xfId="848"/>
    <cellStyle name="Итог 10" xfId="404"/>
    <cellStyle name="Итог 2" xfId="405"/>
    <cellStyle name="Итог 2 2" xfId="849"/>
    <cellStyle name="Итог 2 3" xfId="850"/>
    <cellStyle name="Итог 2 4" xfId="851"/>
    <cellStyle name="Итог 2 5" xfId="852"/>
    <cellStyle name="Итог 3" xfId="406"/>
    <cellStyle name="Итог 4" xfId="407"/>
    <cellStyle name="Итог 5" xfId="408"/>
    <cellStyle name="Итог 6" xfId="409"/>
    <cellStyle name="Итог 7" xfId="410"/>
    <cellStyle name="Итог 8" xfId="411"/>
    <cellStyle name="Итог 9" xfId="412"/>
    <cellStyle name="Итоги" xfId="970"/>
    <cellStyle name="Контрольная ячейка 10" xfId="413"/>
    <cellStyle name="Контрольная ячейка 2" xfId="414"/>
    <cellStyle name="Контрольная ячейка 2 2" xfId="853"/>
    <cellStyle name="Контрольная ячейка 2 3" xfId="854"/>
    <cellStyle name="Контрольная ячейка 2 4" xfId="855"/>
    <cellStyle name="Контрольная ячейка 2 5" xfId="856"/>
    <cellStyle name="Контрольная ячейка 2 6" xfId="857"/>
    <cellStyle name="Контрольная ячейка 3" xfId="415"/>
    <cellStyle name="Контрольная ячейка 4" xfId="416"/>
    <cellStyle name="Контрольная ячейка 5" xfId="417"/>
    <cellStyle name="Контрольная ячейка 6" xfId="418"/>
    <cellStyle name="Контрольная ячейка 7" xfId="419"/>
    <cellStyle name="Контрольная ячейка 8" xfId="420"/>
    <cellStyle name="Контрольная ячейка 9" xfId="421"/>
    <cellStyle name="ЛокСмета" xfId="971"/>
    <cellStyle name="Мой заголовок" xfId="858"/>
    <cellStyle name="Мой заголовок листа" xfId="859"/>
    <cellStyle name="Мои наименования показателей" xfId="860"/>
    <cellStyle name="Мои наименования показателей 2" xfId="861"/>
    <cellStyle name="Название 10" xfId="422"/>
    <cellStyle name="Название 2" xfId="423"/>
    <cellStyle name="Название 2 2" xfId="862"/>
    <cellStyle name="Название 2 3" xfId="863"/>
    <cellStyle name="Название 2 4" xfId="864"/>
    <cellStyle name="Название 2 5" xfId="865"/>
    <cellStyle name="Название 3" xfId="424"/>
    <cellStyle name="Название 4" xfId="425"/>
    <cellStyle name="Название 5" xfId="426"/>
    <cellStyle name="Название 6" xfId="427"/>
    <cellStyle name="Название 7" xfId="428"/>
    <cellStyle name="Название 8" xfId="429"/>
    <cellStyle name="Название 9" xfId="430"/>
    <cellStyle name="Нейтральный 10" xfId="431"/>
    <cellStyle name="Нейтральный 2" xfId="432"/>
    <cellStyle name="Нейтральный 2 2" xfId="866"/>
    <cellStyle name="Нейтральный 2 3" xfId="867"/>
    <cellStyle name="Нейтральный 2 4" xfId="868"/>
    <cellStyle name="Нейтральный 2 5" xfId="869"/>
    <cellStyle name="Нейтральный 2 6" xfId="870"/>
    <cellStyle name="Нейтральный 3" xfId="433"/>
    <cellStyle name="Нейтральный 4" xfId="434"/>
    <cellStyle name="Нейтральный 5" xfId="435"/>
    <cellStyle name="Нейтральный 6" xfId="436"/>
    <cellStyle name="Нейтральный 7" xfId="437"/>
    <cellStyle name="Нейтральный 8" xfId="438"/>
    <cellStyle name="Нейтральный 9" xfId="439"/>
    <cellStyle name="Обычнsй" xfId="972"/>
    <cellStyle name="Обычный" xfId="0" builtinId="0"/>
    <cellStyle name="Обычный 10" xfId="440"/>
    <cellStyle name="Обычный 10 2" xfId="441"/>
    <cellStyle name="Обычный 10 2 2" xfId="442"/>
    <cellStyle name="Обычный 10 3" xfId="443"/>
    <cellStyle name="Обычный 10 4" xfId="871"/>
    <cellStyle name="Обычный 11" xfId="444"/>
    <cellStyle name="Обычный 11 2" xfId="445"/>
    <cellStyle name="Обычный 11 2 2" xfId="446"/>
    <cellStyle name="Обычный 11 3" xfId="447"/>
    <cellStyle name="Обычный 11 4" xfId="872"/>
    <cellStyle name="Обычный 110" xfId="873"/>
    <cellStyle name="Обычный 12" xfId="874"/>
    <cellStyle name="Обычный 12 2" xfId="448"/>
    <cellStyle name="Обычный 13" xfId="449"/>
    <cellStyle name="Обычный 13 2" xfId="875"/>
    <cellStyle name="Обычный 13 3" xfId="876"/>
    <cellStyle name="Обычный 14" xfId="877"/>
    <cellStyle name="Обычный 15" xfId="878"/>
    <cellStyle name="Обычный 16" xfId="450"/>
    <cellStyle name="Обычный 16 2" xfId="879"/>
    <cellStyle name="Обычный 16 3" xfId="880"/>
    <cellStyle name="Обычный 17" xfId="881"/>
    <cellStyle name="Обычный 18" xfId="882"/>
    <cellStyle name="Обычный 19" xfId="883"/>
    <cellStyle name="Обычный 2" xfId="1"/>
    <cellStyle name="Обычный 2 10" xfId="451"/>
    <cellStyle name="Обычный 2 10 2" xfId="884"/>
    <cellStyle name="Обычный 2 11" xfId="452"/>
    <cellStyle name="Обычный 2 12" xfId="453"/>
    <cellStyle name="Обычный 2 2" xfId="454"/>
    <cellStyle name="Обычный 2 2 2" xfId="885"/>
    <cellStyle name="Обычный 2 2 3" xfId="886"/>
    <cellStyle name="Обычный 2 3" xfId="455"/>
    <cellStyle name="Обычный 2 4" xfId="456"/>
    <cellStyle name="Обычный 2 4 2" xfId="887"/>
    <cellStyle name="Обычный 2 5" xfId="457"/>
    <cellStyle name="Обычный 2 5 2" xfId="888"/>
    <cellStyle name="Обычный 2 6" xfId="458"/>
    <cellStyle name="Обычный 2 6 2" xfId="889"/>
    <cellStyle name="Обычный 2 7" xfId="459"/>
    <cellStyle name="Обычный 2 7 2" xfId="890"/>
    <cellStyle name="Обычный 2 8" xfId="460"/>
    <cellStyle name="Обычный 2 8 2" xfId="891"/>
    <cellStyle name="Обычный 2 9" xfId="461"/>
    <cellStyle name="Обычный 2 9 2" xfId="892"/>
    <cellStyle name="Обычный 20" xfId="893"/>
    <cellStyle name="Обычный 21" xfId="894"/>
    <cellStyle name="Обычный 22" xfId="895"/>
    <cellStyle name="Обычный 23" xfId="462"/>
    <cellStyle name="Обычный 24" xfId="896"/>
    <cellStyle name="Обычный 25" xfId="897"/>
    <cellStyle name="Обычный 3" xfId="463"/>
    <cellStyle name="Обычный 3 10" xfId="464"/>
    <cellStyle name="Обычный 3 11" xfId="898"/>
    <cellStyle name="Обычный 3 12" xfId="990"/>
    <cellStyle name="Обычный 3 2" xfId="465"/>
    <cellStyle name="Обычный 3 2 2" xfId="466"/>
    <cellStyle name="Обычный 3 2 2 2" xfId="467"/>
    <cellStyle name="Обычный 3 2 3" xfId="468"/>
    <cellStyle name="Обычный 3 2 4" xfId="899"/>
    <cellStyle name="Обычный 3 2 5" xfId="991"/>
    <cellStyle name="Обычный 3 3" xfId="469"/>
    <cellStyle name="Обычный 3 3 2" xfId="470"/>
    <cellStyle name="Обычный 3 4" xfId="471"/>
    <cellStyle name="Обычный 3 5" xfId="472"/>
    <cellStyle name="Обычный 3 6" xfId="473"/>
    <cellStyle name="Обычный 3 7" xfId="474"/>
    <cellStyle name="Обычный 3 8" xfId="475"/>
    <cellStyle name="Обычный 3 9" xfId="476"/>
    <cellStyle name="Обычный 34" xfId="477"/>
    <cellStyle name="Обычный 4" xfId="478"/>
    <cellStyle name="Обычный 4 10" xfId="479"/>
    <cellStyle name="Обычный 4 11" xfId="992"/>
    <cellStyle name="Обычный 4 12" xfId="977"/>
    <cellStyle name="Обычный 4 2" xfId="480"/>
    <cellStyle name="Обычный 4 2 2" xfId="481"/>
    <cellStyle name="Обычный 4 3" xfId="482"/>
    <cellStyle name="Обычный 4 4" xfId="483"/>
    <cellStyle name="Обычный 4 5" xfId="484"/>
    <cellStyle name="Обычный 4 6" xfId="485"/>
    <cellStyle name="Обычный 4 7" xfId="486"/>
    <cellStyle name="Обычный 4 8" xfId="487"/>
    <cellStyle name="Обычный 4 9" xfId="488"/>
    <cellStyle name="Обычный 5" xfId="489"/>
    <cellStyle name="Обычный 5 2" xfId="490"/>
    <cellStyle name="Обычный 5 2 2" xfId="900"/>
    <cellStyle name="Обычный 5 2 3" xfId="901"/>
    <cellStyle name="Обычный 5 2 4" xfId="902"/>
    <cellStyle name="Обычный 5 2 5" xfId="903"/>
    <cellStyle name="Обычный 5 2 6" xfId="904"/>
    <cellStyle name="Обычный 5 2 7" xfId="994"/>
    <cellStyle name="Обычный 5 2 8" xfId="984"/>
    <cellStyle name="Обычный 5 3" xfId="905"/>
    <cellStyle name="Обычный 5 4" xfId="906"/>
    <cellStyle name="Обычный 5 5" xfId="907"/>
    <cellStyle name="Обычный 5 6" xfId="908"/>
    <cellStyle name="Обычный 5 7" xfId="993"/>
    <cellStyle name="Обычный 6" xfId="491"/>
    <cellStyle name="Обычный 6 2" xfId="909"/>
    <cellStyle name="Обычный 6 3" xfId="995"/>
    <cellStyle name="Обычный 6 4" xfId="983"/>
    <cellStyle name="Обычный 7" xfId="492"/>
    <cellStyle name="Обычный 7 2" xfId="910"/>
    <cellStyle name="Обычный 7 2 2" xfId="1000"/>
    <cellStyle name="Обычный 7 2 3" xfId="987"/>
    <cellStyle name="Обычный 7 3" xfId="996"/>
    <cellStyle name="Обычный 7 4" xfId="986"/>
    <cellStyle name="Обычный 8" xfId="493"/>
    <cellStyle name="Обычный 8 2" xfId="911"/>
    <cellStyle name="Обычный 8 3" xfId="997"/>
    <cellStyle name="Обычный 8 4" xfId="988"/>
    <cellStyle name="Обычный 9" xfId="494"/>
    <cellStyle name="Обычный 9 2" xfId="912"/>
    <cellStyle name="Перенос_слов" xfId="973"/>
    <cellStyle name="Плохой 10" xfId="495"/>
    <cellStyle name="Плохой 2" xfId="496"/>
    <cellStyle name="Плохой 2 2" xfId="913"/>
    <cellStyle name="Плохой 2 3" xfId="914"/>
    <cellStyle name="Плохой 2 4" xfId="915"/>
    <cellStyle name="Плохой 2 5" xfId="916"/>
    <cellStyle name="Плохой 2 6" xfId="917"/>
    <cellStyle name="Плохой 3" xfId="497"/>
    <cellStyle name="Плохой 4" xfId="498"/>
    <cellStyle name="Плохой 5" xfId="499"/>
    <cellStyle name="Плохой 6" xfId="500"/>
    <cellStyle name="Плохой 7" xfId="501"/>
    <cellStyle name="Плохой 8" xfId="502"/>
    <cellStyle name="Плохой 9" xfId="503"/>
    <cellStyle name="Поле ввода" xfId="918"/>
    <cellStyle name="Пояснение 10" xfId="504"/>
    <cellStyle name="Пояснение 2" xfId="505"/>
    <cellStyle name="Пояснение 2 2" xfId="919"/>
    <cellStyle name="Пояснение 2 3" xfId="920"/>
    <cellStyle name="Пояснение 2 4" xfId="921"/>
    <cellStyle name="Пояснение 2 5" xfId="922"/>
    <cellStyle name="Пояснение 3" xfId="506"/>
    <cellStyle name="Пояснение 4" xfId="507"/>
    <cellStyle name="Пояснение 5" xfId="508"/>
    <cellStyle name="Пояснение 6" xfId="509"/>
    <cellStyle name="Пояснение 7" xfId="510"/>
    <cellStyle name="Пояснение 8" xfId="511"/>
    <cellStyle name="Пояснение 9" xfId="512"/>
    <cellStyle name="Примечание 10" xfId="513"/>
    <cellStyle name="Примечание 2" xfId="514"/>
    <cellStyle name="Примечание 2 2" xfId="923"/>
    <cellStyle name="Примечание 2 3" xfId="924"/>
    <cellStyle name="Примечание 2 4" xfId="925"/>
    <cellStyle name="Примечание 2 5" xfId="926"/>
    <cellStyle name="Примечание 2 6" xfId="927"/>
    <cellStyle name="Примечание 3" xfId="515"/>
    <cellStyle name="Примечание 4" xfId="516"/>
    <cellStyle name="Примечание 5" xfId="517"/>
    <cellStyle name="Примечание 6" xfId="518"/>
    <cellStyle name="Примечание 7" xfId="519"/>
    <cellStyle name="Примечание 8" xfId="520"/>
    <cellStyle name="Примечание 9" xfId="521"/>
    <cellStyle name="Процентный 2" xfId="522"/>
    <cellStyle name="Процентный 2 10" xfId="523"/>
    <cellStyle name="Процентный 2 11" xfId="524"/>
    <cellStyle name="Процентный 2 2" xfId="525"/>
    <cellStyle name="Процентный 2 2 2" xfId="998"/>
    <cellStyle name="Процентный 2 2 3" xfId="978"/>
    <cellStyle name="Процентный 2 3" xfId="526"/>
    <cellStyle name="Процентный 2 3 2" xfId="928"/>
    <cellStyle name="Процентный 2 4" xfId="527"/>
    <cellStyle name="Процентный 2 4 2" xfId="929"/>
    <cellStyle name="Процентный 2 5" xfId="528"/>
    <cellStyle name="Процентный 2 5 2" xfId="930"/>
    <cellStyle name="Процентный 2 6" xfId="529"/>
    <cellStyle name="Процентный 2 6 2" xfId="931"/>
    <cellStyle name="Процентный 2 7" xfId="530"/>
    <cellStyle name="Процентный 2 7 2" xfId="932"/>
    <cellStyle name="Процентный 2 8" xfId="531"/>
    <cellStyle name="Процентный 2 8 2" xfId="933"/>
    <cellStyle name="Процентный 2 9" xfId="532"/>
    <cellStyle name="Процентный 2 9 2" xfId="934"/>
    <cellStyle name="Процентный 3" xfId="935"/>
    <cellStyle name="Процентный 3 2" xfId="533"/>
    <cellStyle name="Процентный 3 2 2" xfId="999"/>
    <cellStyle name="Процентный 3 2 3" xfId="985"/>
    <cellStyle name="Процентный 3 3" xfId="1001"/>
    <cellStyle name="Процентный 3 4" xfId="982"/>
    <cellStyle name="Процентный 4" xfId="936"/>
    <cellStyle name="Процентный 4 2" xfId="534"/>
    <cellStyle name="Процентный 4 3" xfId="961"/>
    <cellStyle name="Связанная ячейка 10" xfId="535"/>
    <cellStyle name="Связанная ячейка 2" xfId="536"/>
    <cellStyle name="Связанная ячейка 2 2" xfId="937"/>
    <cellStyle name="Связанная ячейка 2 3" xfId="938"/>
    <cellStyle name="Связанная ячейка 2 4" xfId="939"/>
    <cellStyle name="Связанная ячейка 2 5" xfId="940"/>
    <cellStyle name="Связанная ячейка 3" xfId="537"/>
    <cellStyle name="Связанная ячейка 4" xfId="538"/>
    <cellStyle name="Связанная ячейка 5" xfId="539"/>
    <cellStyle name="Связанная ячейка 6" xfId="540"/>
    <cellStyle name="Связанная ячейка 7" xfId="541"/>
    <cellStyle name="Связанная ячейка 8" xfId="542"/>
    <cellStyle name="Связанная ячейка 9" xfId="543"/>
    <cellStyle name="смр" xfId="544"/>
    <cellStyle name="Стиль 1" xfId="545"/>
    <cellStyle name="Стиль 1 10" xfId="546"/>
    <cellStyle name="Стиль 1 11" xfId="547"/>
    <cellStyle name="Стиль 1 2" xfId="548"/>
    <cellStyle name="Стиль 1 2 10" xfId="941"/>
    <cellStyle name="Стиль 1 2 2" xfId="549"/>
    <cellStyle name="Стиль 1 2 2 2" xfId="550"/>
    <cellStyle name="Стиль 1 2 3" xfId="551"/>
    <cellStyle name="Стиль 1 2 4" xfId="552"/>
    <cellStyle name="Стиль 1 2 5" xfId="553"/>
    <cellStyle name="Стиль 1 2 6" xfId="554"/>
    <cellStyle name="Стиль 1 2 7" xfId="555"/>
    <cellStyle name="Стиль 1 2 8" xfId="556"/>
    <cellStyle name="Стиль 1 2 9" xfId="557"/>
    <cellStyle name="Стиль 1 3" xfId="558"/>
    <cellStyle name="Стиль 1 3 2" xfId="942"/>
    <cellStyle name="Стиль 1 4" xfId="559"/>
    <cellStyle name="Стиль 1 5" xfId="560"/>
    <cellStyle name="Стиль 1 6" xfId="561"/>
    <cellStyle name="Стиль 1 7" xfId="562"/>
    <cellStyle name="Стиль 1 8" xfId="563"/>
    <cellStyle name="Стиль 1 9" xfId="564"/>
    <cellStyle name="Текст" xfId="943"/>
    <cellStyle name="Текст предупреждения 10" xfId="565"/>
    <cellStyle name="Текст предупреждения 2" xfId="566"/>
    <cellStyle name="Текст предупреждения 2 2" xfId="944"/>
    <cellStyle name="Текст предупреждения 2 3" xfId="945"/>
    <cellStyle name="Текст предупреждения 2 4" xfId="946"/>
    <cellStyle name="Текст предупреждения 2 5" xfId="947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70"/>
    <cellStyle name="Текст предупреждения 7" xfId="571"/>
    <cellStyle name="Текст предупреждения 8" xfId="572"/>
    <cellStyle name="Текст предупреждения 9" xfId="573"/>
    <cellStyle name="Текстовый" xfId="948"/>
    <cellStyle name="Титул" xfId="974"/>
    <cellStyle name="Тысячи [0]_01.01.98" xfId="574"/>
    <cellStyle name="Тысячи_01.01.98" xfId="575"/>
    <cellStyle name="Финансовый 2" xfId="576"/>
    <cellStyle name="Финансовый 2 10" xfId="577"/>
    <cellStyle name="Финансовый 2 11" xfId="578"/>
    <cellStyle name="Финансовый 2 2" xfId="579"/>
    <cellStyle name="Финансовый 2 2 2" xfId="949"/>
    <cellStyle name="Финансовый 2 2 3" xfId="950"/>
    <cellStyle name="Финансовый 2 3" xfId="580"/>
    <cellStyle name="Финансовый 2 4" xfId="581"/>
    <cellStyle name="Финансовый 2 5" xfId="582"/>
    <cellStyle name="Финансовый 2 6" xfId="583"/>
    <cellStyle name="Финансовый 2 7" xfId="584"/>
    <cellStyle name="Финансовый 2 8" xfId="585"/>
    <cellStyle name="Финансовый 2 9" xfId="586"/>
    <cellStyle name="Финансовый 3" xfId="951"/>
    <cellStyle name="Финансовый 3 2" xfId="587"/>
    <cellStyle name="Финансовый 3 3" xfId="962"/>
    <cellStyle name="Финансовый 4" xfId="588"/>
    <cellStyle name="Финансовый 5 2" xfId="589"/>
    <cellStyle name="Формула" xfId="952"/>
    <cellStyle name="Формула 2" xfId="1002"/>
    <cellStyle name="Формула 3" xfId="975"/>
    <cellStyle name="ФормулаВБ" xfId="953"/>
    <cellStyle name="ФормулаНаКонтроль" xfId="954"/>
    <cellStyle name="Хвост" xfId="976"/>
    <cellStyle name="Хороший 10" xfId="590"/>
    <cellStyle name="Хороший 2" xfId="591"/>
    <cellStyle name="Хороший 2 2" xfId="955"/>
    <cellStyle name="Хороший 2 3" xfId="956"/>
    <cellStyle name="Хороший 2 4" xfId="957"/>
    <cellStyle name="Хороший 2 5" xfId="958"/>
    <cellStyle name="Хороший 2 6" xfId="959"/>
    <cellStyle name="Хороший 3" xfId="592"/>
    <cellStyle name="Хороший 4" xfId="593"/>
    <cellStyle name="Хороший 5" xfId="594"/>
    <cellStyle name="Хороший 6" xfId="595"/>
    <cellStyle name="Хороший 7" xfId="596"/>
    <cellStyle name="Хороший 8" xfId="597"/>
    <cellStyle name="Хороший 9" xfId="598"/>
    <cellStyle name="Џђћ–…ќ’ќ›‰" xfId="960"/>
  </cellStyles>
  <dxfs count="0"/>
  <tableStyles count="0" defaultTableStyle="TableStyleMedium2" defaultPivotStyle="PivotStyleLight16"/>
  <colors>
    <mruColors>
      <color rgb="FFCCFFCC"/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Y76"/>
  <sheetViews>
    <sheetView tabSelected="1" view="pageBreakPreview" zoomScale="80" zoomScaleNormal="80" zoomScaleSheetLayoutView="80" workbookViewId="0">
      <selection activeCell="AA88" sqref="AA88"/>
    </sheetView>
  </sheetViews>
  <sheetFormatPr defaultRowHeight="12" outlineLevelRow="1"/>
  <cols>
    <col min="1" max="1" width="4.140625" style="1" customWidth="1"/>
    <col min="2" max="2" width="46.28515625" style="2" customWidth="1"/>
    <col min="3" max="5" width="12.5703125" style="2" customWidth="1"/>
    <col min="6" max="8" width="11.140625" style="2" customWidth="1"/>
    <col min="9" max="9" width="11.5703125" style="2" customWidth="1"/>
    <col min="10" max="10" width="11.42578125" style="2" customWidth="1"/>
    <col min="11" max="14" width="11.5703125" style="2" customWidth="1"/>
    <col min="15" max="15" width="11.42578125" style="2" customWidth="1"/>
    <col min="16" max="16" width="11.5703125" style="2" customWidth="1"/>
    <col min="17" max="17" width="12.140625" style="2" customWidth="1"/>
    <col min="18" max="18" width="12.5703125" style="2" customWidth="1"/>
    <col min="19" max="24" width="9.140625" style="2"/>
    <col min="25" max="25" width="8.42578125" style="2" customWidth="1"/>
    <col min="26" max="16384" width="9.140625" style="2"/>
  </cols>
  <sheetData>
    <row r="2" spans="1:25" ht="20.25">
      <c r="B2" s="179" t="s">
        <v>252</v>
      </c>
      <c r="I2" s="178"/>
    </row>
    <row r="4" spans="1:25" ht="24" customHeight="1">
      <c r="A4" s="3" t="s">
        <v>1</v>
      </c>
      <c r="B4" s="259" t="s">
        <v>3</v>
      </c>
      <c r="C4" s="256">
        <v>2015</v>
      </c>
      <c r="D4" s="257"/>
      <c r="E4" s="258"/>
      <c r="F4" s="256">
        <v>2016</v>
      </c>
      <c r="G4" s="257"/>
      <c r="H4" s="258"/>
      <c r="I4" s="256" t="s">
        <v>217</v>
      </c>
      <c r="J4" s="257"/>
      <c r="K4" s="258"/>
      <c r="L4" s="256" t="s">
        <v>218</v>
      </c>
      <c r="M4" s="257"/>
      <c r="N4" s="258"/>
      <c r="O4" s="256" t="s">
        <v>214</v>
      </c>
      <c r="P4" s="257"/>
      <c r="Q4" s="257"/>
      <c r="R4" s="258"/>
    </row>
    <row r="5" spans="1:25">
      <c r="B5" s="259"/>
      <c r="C5" s="256" t="s">
        <v>64</v>
      </c>
      <c r="D5" s="258"/>
      <c r="E5" s="151" t="s">
        <v>67</v>
      </c>
      <c r="F5" s="256" t="s">
        <v>64</v>
      </c>
      <c r="G5" s="258"/>
      <c r="H5" s="151" t="s">
        <v>67</v>
      </c>
      <c r="I5" s="256" t="s">
        <v>64</v>
      </c>
      <c r="J5" s="258"/>
      <c r="K5" s="4" t="s">
        <v>67</v>
      </c>
      <c r="L5" s="256" t="s">
        <v>64</v>
      </c>
      <c r="M5" s="258"/>
      <c r="N5" s="189" t="s">
        <v>67</v>
      </c>
      <c r="O5" s="256" t="s">
        <v>64</v>
      </c>
      <c r="P5" s="258"/>
      <c r="Q5" s="4" t="s">
        <v>67</v>
      </c>
      <c r="R5" s="165" t="s">
        <v>64</v>
      </c>
    </row>
    <row r="6" spans="1:25">
      <c r="B6" s="259"/>
      <c r="C6" s="151" t="s">
        <v>66</v>
      </c>
      <c r="D6" s="151" t="s">
        <v>65</v>
      </c>
      <c r="E6" s="151" t="s">
        <v>68</v>
      </c>
      <c r="F6" s="151" t="s">
        <v>66</v>
      </c>
      <c r="G6" s="151" t="s">
        <v>65</v>
      </c>
      <c r="H6" s="151" t="s">
        <v>68</v>
      </c>
      <c r="I6" s="4" t="s">
        <v>66</v>
      </c>
      <c r="J6" s="4" t="s">
        <v>65</v>
      </c>
      <c r="K6" s="4" t="s">
        <v>68</v>
      </c>
      <c r="L6" s="189" t="s">
        <v>66</v>
      </c>
      <c r="M6" s="189" t="s">
        <v>65</v>
      </c>
      <c r="N6" s="189" t="s">
        <v>68</v>
      </c>
      <c r="O6" s="4" t="s">
        <v>66</v>
      </c>
      <c r="P6" s="4" t="s">
        <v>65</v>
      </c>
      <c r="Q6" s="4" t="s">
        <v>68</v>
      </c>
      <c r="R6" s="165" t="s">
        <v>65</v>
      </c>
    </row>
    <row r="7" spans="1:25"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</row>
    <row r="8" spans="1:25" ht="24.75" customHeight="1">
      <c r="A8" s="3" t="s">
        <v>1</v>
      </c>
      <c r="B8" s="12" t="s">
        <v>69</v>
      </c>
      <c r="C8" s="6"/>
      <c r="D8" s="6"/>
      <c r="E8" s="7"/>
      <c r="F8" s="6"/>
      <c r="G8" s="6"/>
      <c r="H8" s="7"/>
      <c r="I8" s="6"/>
      <c r="J8" s="6"/>
      <c r="K8" s="7"/>
      <c r="L8" s="188"/>
      <c r="M8" s="188"/>
      <c r="N8" s="188"/>
      <c r="O8" s="253"/>
      <c r="P8" s="254"/>
      <c r="Q8" s="254"/>
      <c r="R8" s="255"/>
    </row>
    <row r="9" spans="1:25" outlineLevel="1">
      <c r="A9" s="3"/>
      <c r="B9" s="11" t="s">
        <v>43</v>
      </c>
      <c r="C9" s="6"/>
      <c r="D9" s="6"/>
      <c r="E9" s="7"/>
      <c r="F9" s="6"/>
      <c r="G9" s="6"/>
      <c r="H9" s="7"/>
      <c r="I9" s="6"/>
      <c r="J9" s="6"/>
      <c r="K9" s="7"/>
      <c r="L9" s="193"/>
      <c r="M9" s="193"/>
      <c r="N9" s="193"/>
      <c r="O9" s="6"/>
      <c r="P9" s="6"/>
      <c r="Q9" s="7"/>
      <c r="R9" s="164"/>
      <c r="X9" s="191"/>
      <c r="Y9" s="191"/>
    </row>
    <row r="10" spans="1:25" outlineLevel="1">
      <c r="A10" s="3"/>
      <c r="B10" s="8" t="s">
        <v>213</v>
      </c>
      <c r="C10" s="13">
        <v>25</v>
      </c>
      <c r="D10" s="14">
        <f>C10*0.94</f>
        <v>23.5</v>
      </c>
      <c r="E10" s="176">
        <v>0</v>
      </c>
      <c r="F10" s="13">
        <v>25</v>
      </c>
      <c r="G10" s="14">
        <f>F10*0.94</f>
        <v>23.5</v>
      </c>
      <c r="H10" s="176">
        <v>0</v>
      </c>
      <c r="I10" s="13">
        <v>25</v>
      </c>
      <c r="J10" s="206">
        <f>I10*0.94</f>
        <v>23.5</v>
      </c>
      <c r="K10" s="176">
        <v>0</v>
      </c>
      <c r="L10" s="202"/>
      <c r="M10" s="202"/>
      <c r="N10" s="202"/>
      <c r="O10" s="13">
        <v>25</v>
      </c>
      <c r="P10" s="14">
        <f>O10*0.94</f>
        <v>23.5</v>
      </c>
      <c r="Q10" s="168">
        <f t="shared" ref="Q10:Q24" si="0">ROUND(AVERAGE(E10,H10,K10),0)</f>
        <v>0</v>
      </c>
      <c r="R10" s="167">
        <f>ROUND(P10*Q10,2)</f>
        <v>0</v>
      </c>
      <c r="X10" s="191"/>
      <c r="Y10" s="42"/>
    </row>
    <row r="11" spans="1:25" outlineLevel="1">
      <c r="A11" s="3"/>
      <c r="B11" s="8" t="s">
        <v>56</v>
      </c>
      <c r="C11" s="13">
        <v>40</v>
      </c>
      <c r="D11" s="14">
        <f t="shared" ref="D11:D24" si="1">C11*0.94</f>
        <v>37.599999999999994</v>
      </c>
      <c r="E11" s="176">
        <v>0</v>
      </c>
      <c r="F11" s="13">
        <v>40</v>
      </c>
      <c r="G11" s="14">
        <f t="shared" ref="G11:G24" si="2">F11*0.94</f>
        <v>37.599999999999994</v>
      </c>
      <c r="H11" s="176">
        <v>0</v>
      </c>
      <c r="I11" s="13">
        <v>40</v>
      </c>
      <c r="J11" s="206">
        <f t="shared" ref="J11:J24" si="3">I11*0.94</f>
        <v>37.599999999999994</v>
      </c>
      <c r="K11" s="176">
        <v>0</v>
      </c>
      <c r="L11" s="202"/>
      <c r="M11" s="202"/>
      <c r="N11" s="202"/>
      <c r="O11" s="13">
        <v>40</v>
      </c>
      <c r="P11" s="14">
        <f t="shared" ref="P11:P24" si="4">O11*0.94</f>
        <v>37.599999999999994</v>
      </c>
      <c r="Q11" s="168">
        <f t="shared" si="0"/>
        <v>0</v>
      </c>
      <c r="R11" s="167">
        <f t="shared" ref="R11:R24" si="5">ROUND(P11*Q11,2)</f>
        <v>0</v>
      </c>
      <c r="X11" s="191"/>
      <c r="Y11" s="42"/>
    </row>
    <row r="12" spans="1:25" outlineLevel="1">
      <c r="A12" s="3"/>
      <c r="B12" s="8" t="s">
        <v>54</v>
      </c>
      <c r="C12" s="13">
        <v>63</v>
      </c>
      <c r="D12" s="14">
        <f t="shared" si="1"/>
        <v>59.22</v>
      </c>
      <c r="E12" s="176">
        <v>0</v>
      </c>
      <c r="F12" s="13">
        <v>63</v>
      </c>
      <c r="G12" s="14">
        <f t="shared" si="2"/>
        <v>59.22</v>
      </c>
      <c r="H12" s="176">
        <v>0</v>
      </c>
      <c r="I12" s="13">
        <v>63</v>
      </c>
      <c r="J12" s="206">
        <f t="shared" si="3"/>
        <v>59.22</v>
      </c>
      <c r="K12" s="176">
        <v>0</v>
      </c>
      <c r="L12" s="202"/>
      <c r="M12" s="202"/>
      <c r="N12" s="202"/>
      <c r="O12" s="13">
        <v>63</v>
      </c>
      <c r="P12" s="14">
        <f>O12*0.94</f>
        <v>59.22</v>
      </c>
      <c r="Q12" s="168">
        <f>ROUND(AVERAGE(E12,H12,K12),0)</f>
        <v>0</v>
      </c>
      <c r="R12" s="167">
        <f t="shared" si="5"/>
        <v>0</v>
      </c>
      <c r="X12" s="191"/>
      <c r="Y12" s="42"/>
    </row>
    <row r="13" spans="1:25" outlineLevel="1">
      <c r="A13" s="3"/>
      <c r="B13" s="8" t="s">
        <v>45</v>
      </c>
      <c r="C13" s="13">
        <v>100</v>
      </c>
      <c r="D13" s="14">
        <f t="shared" si="1"/>
        <v>94</v>
      </c>
      <c r="E13" s="176">
        <v>0</v>
      </c>
      <c r="F13" s="13">
        <v>100</v>
      </c>
      <c r="G13" s="14">
        <f t="shared" si="2"/>
        <v>94</v>
      </c>
      <c r="H13" s="176">
        <v>0</v>
      </c>
      <c r="I13" s="13">
        <v>100</v>
      </c>
      <c r="J13" s="206">
        <f t="shared" si="3"/>
        <v>94</v>
      </c>
      <c r="K13" s="176">
        <v>0</v>
      </c>
      <c r="L13" s="202"/>
      <c r="M13" s="202"/>
      <c r="N13" s="202"/>
      <c r="O13" s="13">
        <v>100</v>
      </c>
      <c r="P13" s="14">
        <f t="shared" si="4"/>
        <v>94</v>
      </c>
      <c r="Q13" s="168">
        <f t="shared" si="0"/>
        <v>0</v>
      </c>
      <c r="R13" s="167">
        <f t="shared" si="5"/>
        <v>0</v>
      </c>
      <c r="S13" s="166"/>
      <c r="T13" s="166"/>
      <c r="X13" s="191"/>
      <c r="Y13" s="42"/>
    </row>
    <row r="14" spans="1:25" outlineLevel="1">
      <c r="A14" s="3"/>
      <c r="B14" s="8" t="s">
        <v>46</v>
      </c>
      <c r="C14" s="13">
        <v>160</v>
      </c>
      <c r="D14" s="14">
        <f t="shared" si="1"/>
        <v>150.39999999999998</v>
      </c>
      <c r="E14" s="176">
        <v>0</v>
      </c>
      <c r="F14" s="13">
        <v>160</v>
      </c>
      <c r="G14" s="14">
        <f t="shared" si="2"/>
        <v>150.39999999999998</v>
      </c>
      <c r="H14" s="176">
        <v>0</v>
      </c>
      <c r="I14" s="13">
        <v>160</v>
      </c>
      <c r="J14" s="206">
        <f t="shared" si="3"/>
        <v>150.39999999999998</v>
      </c>
      <c r="K14" s="176">
        <v>0</v>
      </c>
      <c r="L14" s="202"/>
      <c r="M14" s="202"/>
      <c r="N14" s="202"/>
      <c r="O14" s="13">
        <v>160</v>
      </c>
      <c r="P14" s="14">
        <f t="shared" si="4"/>
        <v>150.39999999999998</v>
      </c>
      <c r="Q14" s="168">
        <f t="shared" si="0"/>
        <v>0</v>
      </c>
      <c r="R14" s="167">
        <f t="shared" si="5"/>
        <v>0</v>
      </c>
      <c r="S14" s="166"/>
      <c r="T14" s="166"/>
      <c r="X14" s="191"/>
      <c r="Y14" s="42"/>
    </row>
    <row r="15" spans="1:25" outlineLevel="1">
      <c r="A15" s="3"/>
      <c r="B15" s="8" t="s">
        <v>47</v>
      </c>
      <c r="C15" s="13">
        <v>250</v>
      </c>
      <c r="D15" s="14">
        <f t="shared" si="1"/>
        <v>235</v>
      </c>
      <c r="E15" s="176">
        <v>0</v>
      </c>
      <c r="F15" s="13">
        <v>250</v>
      </c>
      <c r="G15" s="14">
        <f t="shared" si="2"/>
        <v>235</v>
      </c>
      <c r="H15" s="176">
        <v>0</v>
      </c>
      <c r="I15" s="13">
        <v>250</v>
      </c>
      <c r="J15" s="206">
        <f t="shared" si="3"/>
        <v>235</v>
      </c>
      <c r="K15" s="176">
        <v>0</v>
      </c>
      <c r="L15" s="202"/>
      <c r="M15" s="202"/>
      <c r="N15" s="202"/>
      <c r="O15" s="13">
        <v>250</v>
      </c>
      <c r="P15" s="14">
        <f t="shared" si="4"/>
        <v>235</v>
      </c>
      <c r="Q15" s="168">
        <f t="shared" si="0"/>
        <v>0</v>
      </c>
      <c r="R15" s="167">
        <f t="shared" si="5"/>
        <v>0</v>
      </c>
      <c r="S15" s="166"/>
      <c r="T15" s="166"/>
      <c r="X15" s="191"/>
      <c r="Y15" s="42"/>
    </row>
    <row r="16" spans="1:25" outlineLevel="1">
      <c r="A16" s="3"/>
      <c r="B16" s="8" t="s">
        <v>57</v>
      </c>
      <c r="C16" s="13">
        <v>400</v>
      </c>
      <c r="D16" s="14">
        <f t="shared" si="1"/>
        <v>376</v>
      </c>
      <c r="E16" s="176">
        <v>0</v>
      </c>
      <c r="F16" s="13">
        <v>400</v>
      </c>
      <c r="G16" s="14">
        <f t="shared" si="2"/>
        <v>376</v>
      </c>
      <c r="H16" s="176">
        <v>0</v>
      </c>
      <c r="I16" s="13">
        <v>400</v>
      </c>
      <c r="J16" s="206">
        <f t="shared" si="3"/>
        <v>376</v>
      </c>
      <c r="K16" s="176">
        <v>0</v>
      </c>
      <c r="L16" s="202"/>
      <c r="M16" s="202"/>
      <c r="N16" s="202"/>
      <c r="O16" s="13">
        <v>400</v>
      </c>
      <c r="P16" s="14">
        <f t="shared" si="4"/>
        <v>376</v>
      </c>
      <c r="Q16" s="168">
        <f t="shared" si="0"/>
        <v>0</v>
      </c>
      <c r="R16" s="167">
        <f t="shared" si="5"/>
        <v>0</v>
      </c>
      <c r="S16" s="166"/>
      <c r="T16" s="166"/>
      <c r="X16" s="191"/>
      <c r="Y16" s="42"/>
    </row>
    <row r="17" spans="1:25" outlineLevel="1">
      <c r="A17" s="3"/>
      <c r="B17" s="8" t="s">
        <v>58</v>
      </c>
      <c r="C17" s="13">
        <v>630</v>
      </c>
      <c r="D17" s="14">
        <f t="shared" si="1"/>
        <v>592.19999999999993</v>
      </c>
      <c r="E17" s="176">
        <v>0</v>
      </c>
      <c r="F17" s="13">
        <v>630</v>
      </c>
      <c r="G17" s="14">
        <f t="shared" si="2"/>
        <v>592.19999999999993</v>
      </c>
      <c r="H17" s="176">
        <v>0</v>
      </c>
      <c r="I17" s="13">
        <v>630</v>
      </c>
      <c r="J17" s="206">
        <f t="shared" si="3"/>
        <v>592.19999999999993</v>
      </c>
      <c r="K17" s="176">
        <v>0</v>
      </c>
      <c r="L17" s="202"/>
      <c r="M17" s="202"/>
      <c r="N17" s="202"/>
      <c r="O17" s="13">
        <v>630</v>
      </c>
      <c r="P17" s="14">
        <f t="shared" si="4"/>
        <v>592.19999999999993</v>
      </c>
      <c r="Q17" s="168">
        <f t="shared" si="0"/>
        <v>0</v>
      </c>
      <c r="R17" s="167">
        <f t="shared" si="5"/>
        <v>0</v>
      </c>
      <c r="S17" s="166"/>
      <c r="T17" s="166"/>
      <c r="X17" s="191"/>
      <c r="Y17" s="42"/>
    </row>
    <row r="18" spans="1:25" outlineLevel="1">
      <c r="A18" s="3"/>
      <c r="B18" s="9" t="s">
        <v>59</v>
      </c>
      <c r="C18" s="13">
        <v>1000</v>
      </c>
      <c r="D18" s="14">
        <f t="shared" si="1"/>
        <v>940</v>
      </c>
      <c r="E18" s="176">
        <v>0</v>
      </c>
      <c r="F18" s="13">
        <v>1000</v>
      </c>
      <c r="G18" s="14">
        <f t="shared" si="2"/>
        <v>940</v>
      </c>
      <c r="H18" s="176">
        <v>0</v>
      </c>
      <c r="I18" s="13">
        <v>1000</v>
      </c>
      <c r="J18" s="206">
        <f t="shared" si="3"/>
        <v>940</v>
      </c>
      <c r="K18" s="176">
        <v>0</v>
      </c>
      <c r="L18" s="202"/>
      <c r="M18" s="202"/>
      <c r="N18" s="202"/>
      <c r="O18" s="13">
        <v>1000</v>
      </c>
      <c r="P18" s="14">
        <f t="shared" si="4"/>
        <v>940</v>
      </c>
      <c r="Q18" s="168">
        <f t="shared" si="0"/>
        <v>0</v>
      </c>
      <c r="R18" s="167">
        <f t="shared" si="5"/>
        <v>0</v>
      </c>
      <c r="X18" s="191"/>
      <c r="Y18" s="42"/>
    </row>
    <row r="19" spans="1:25" outlineLevel="1">
      <c r="A19" s="3"/>
      <c r="B19" s="9" t="s">
        <v>62</v>
      </c>
      <c r="C19" s="13">
        <v>160</v>
      </c>
      <c r="D19" s="14">
        <f t="shared" si="1"/>
        <v>150.39999999999998</v>
      </c>
      <c r="E19" s="176">
        <v>0</v>
      </c>
      <c r="F19" s="13">
        <v>160</v>
      </c>
      <c r="G19" s="14">
        <f t="shared" si="2"/>
        <v>150.39999999999998</v>
      </c>
      <c r="H19" s="176">
        <v>0</v>
      </c>
      <c r="I19" s="13">
        <v>160</v>
      </c>
      <c r="J19" s="206">
        <f t="shared" si="3"/>
        <v>150.39999999999998</v>
      </c>
      <c r="K19" s="176">
        <v>0</v>
      </c>
      <c r="L19" s="202"/>
      <c r="M19" s="202"/>
      <c r="N19" s="202"/>
      <c r="O19" s="13">
        <v>160</v>
      </c>
      <c r="P19" s="14">
        <f t="shared" si="4"/>
        <v>150.39999999999998</v>
      </c>
      <c r="Q19" s="168">
        <f t="shared" si="0"/>
        <v>0</v>
      </c>
      <c r="R19" s="167">
        <f t="shared" si="5"/>
        <v>0</v>
      </c>
      <c r="X19" s="191"/>
      <c r="Y19" s="42"/>
    </row>
    <row r="20" spans="1:25" outlineLevel="1">
      <c r="A20" s="3"/>
      <c r="B20" s="9" t="s">
        <v>63</v>
      </c>
      <c r="C20" s="13">
        <f>2*160</f>
        <v>320</v>
      </c>
      <c r="D20" s="14">
        <f t="shared" si="1"/>
        <v>300.79999999999995</v>
      </c>
      <c r="E20" s="176">
        <v>0</v>
      </c>
      <c r="F20" s="13">
        <f>2*160</f>
        <v>320</v>
      </c>
      <c r="G20" s="14">
        <f t="shared" si="2"/>
        <v>300.79999999999995</v>
      </c>
      <c r="H20" s="176">
        <v>0</v>
      </c>
      <c r="I20" s="13">
        <f>2*160</f>
        <v>320</v>
      </c>
      <c r="J20" s="206">
        <f t="shared" si="3"/>
        <v>300.79999999999995</v>
      </c>
      <c r="K20" s="176">
        <v>0</v>
      </c>
      <c r="L20" s="202"/>
      <c r="M20" s="202"/>
      <c r="N20" s="202"/>
      <c r="O20" s="13">
        <f>2*160</f>
        <v>320</v>
      </c>
      <c r="P20" s="14">
        <f t="shared" si="4"/>
        <v>300.79999999999995</v>
      </c>
      <c r="Q20" s="168">
        <f t="shared" si="0"/>
        <v>0</v>
      </c>
      <c r="R20" s="167">
        <f>ROUND(P20*Q20,2)</f>
        <v>0</v>
      </c>
      <c r="S20" s="166"/>
      <c r="T20" s="166"/>
      <c r="X20" s="191"/>
      <c r="Y20" s="42"/>
    </row>
    <row r="21" spans="1:25" outlineLevel="1">
      <c r="A21" s="3"/>
      <c r="B21" s="9" t="s">
        <v>78</v>
      </c>
      <c r="C21" s="13">
        <f>2*250</f>
        <v>500</v>
      </c>
      <c r="D21" s="14">
        <f t="shared" si="1"/>
        <v>470</v>
      </c>
      <c r="E21" s="176">
        <v>0</v>
      </c>
      <c r="F21" s="13">
        <f>2*250</f>
        <v>500</v>
      </c>
      <c r="G21" s="14">
        <f t="shared" si="2"/>
        <v>470</v>
      </c>
      <c r="H21" s="176">
        <v>0</v>
      </c>
      <c r="I21" s="13">
        <f>2*250</f>
        <v>500</v>
      </c>
      <c r="J21" s="206">
        <f t="shared" si="3"/>
        <v>470</v>
      </c>
      <c r="K21" s="176">
        <v>0</v>
      </c>
      <c r="L21" s="202"/>
      <c r="M21" s="202"/>
      <c r="N21" s="202"/>
      <c r="O21" s="13">
        <f>2*250</f>
        <v>500</v>
      </c>
      <c r="P21" s="14">
        <f t="shared" si="4"/>
        <v>470</v>
      </c>
      <c r="Q21" s="168">
        <f t="shared" si="0"/>
        <v>0</v>
      </c>
      <c r="R21" s="167">
        <f t="shared" si="5"/>
        <v>0</v>
      </c>
      <c r="S21" s="166"/>
      <c r="T21" s="166"/>
      <c r="X21" s="191"/>
      <c r="Y21" s="42"/>
    </row>
    <row r="22" spans="1:25" outlineLevel="1">
      <c r="A22" s="3"/>
      <c r="B22" s="9" t="s">
        <v>79</v>
      </c>
      <c r="C22" s="13">
        <f>2*400</f>
        <v>800</v>
      </c>
      <c r="D22" s="14">
        <f t="shared" si="1"/>
        <v>752</v>
      </c>
      <c r="E22" s="176">
        <v>0</v>
      </c>
      <c r="F22" s="13">
        <f>2*400</f>
        <v>800</v>
      </c>
      <c r="G22" s="14">
        <f t="shared" si="2"/>
        <v>752</v>
      </c>
      <c r="H22" s="176">
        <v>0</v>
      </c>
      <c r="I22" s="13">
        <f>2*400</f>
        <v>800</v>
      </c>
      <c r="J22" s="206">
        <f t="shared" si="3"/>
        <v>752</v>
      </c>
      <c r="K22" s="176">
        <v>0</v>
      </c>
      <c r="L22" s="202"/>
      <c r="M22" s="202"/>
      <c r="N22" s="202"/>
      <c r="O22" s="13">
        <f>2*400</f>
        <v>800</v>
      </c>
      <c r="P22" s="14">
        <f t="shared" si="4"/>
        <v>752</v>
      </c>
      <c r="Q22" s="168">
        <f t="shared" si="0"/>
        <v>0</v>
      </c>
      <c r="R22" s="167">
        <f t="shared" si="5"/>
        <v>0</v>
      </c>
      <c r="X22" s="191"/>
      <c r="Y22" s="42"/>
    </row>
    <row r="23" spans="1:25" outlineLevel="1">
      <c r="A23" s="3"/>
      <c r="B23" s="9" t="s">
        <v>80</v>
      </c>
      <c r="C23" s="13">
        <f>2*630</f>
        <v>1260</v>
      </c>
      <c r="D23" s="14">
        <f t="shared" si="1"/>
        <v>1184.3999999999999</v>
      </c>
      <c r="E23" s="176">
        <v>0</v>
      </c>
      <c r="F23" s="13">
        <f>2*630</f>
        <v>1260</v>
      </c>
      <c r="G23" s="14">
        <f t="shared" si="2"/>
        <v>1184.3999999999999</v>
      </c>
      <c r="H23" s="176">
        <v>0</v>
      </c>
      <c r="I23" s="13">
        <f>2*630</f>
        <v>1260</v>
      </c>
      <c r="J23" s="206">
        <f t="shared" si="3"/>
        <v>1184.3999999999999</v>
      </c>
      <c r="K23" s="176">
        <v>0</v>
      </c>
      <c r="L23" s="202"/>
      <c r="M23" s="202"/>
      <c r="N23" s="202"/>
      <c r="O23" s="13">
        <f>2*630</f>
        <v>1260</v>
      </c>
      <c r="P23" s="14">
        <f t="shared" si="4"/>
        <v>1184.3999999999999</v>
      </c>
      <c r="Q23" s="168">
        <f t="shared" si="0"/>
        <v>0</v>
      </c>
      <c r="R23" s="167">
        <f t="shared" si="5"/>
        <v>0</v>
      </c>
      <c r="X23" s="191"/>
      <c r="Y23" s="42"/>
    </row>
    <row r="24" spans="1:25" outlineLevel="1">
      <c r="A24" s="3"/>
      <c r="B24" s="9" t="s">
        <v>81</v>
      </c>
      <c r="C24" s="13">
        <f>2*1000</f>
        <v>2000</v>
      </c>
      <c r="D24" s="14">
        <f t="shared" si="1"/>
        <v>1880</v>
      </c>
      <c r="E24" s="176">
        <v>0</v>
      </c>
      <c r="F24" s="13">
        <f>2*1000</f>
        <v>2000</v>
      </c>
      <c r="G24" s="14">
        <f t="shared" si="2"/>
        <v>1880</v>
      </c>
      <c r="H24" s="176">
        <v>0</v>
      </c>
      <c r="I24" s="13">
        <f>2*1000</f>
        <v>2000</v>
      </c>
      <c r="J24" s="206">
        <f t="shared" si="3"/>
        <v>1880</v>
      </c>
      <c r="K24" s="176">
        <v>0</v>
      </c>
      <c r="L24" s="202"/>
      <c r="M24" s="202"/>
      <c r="N24" s="202"/>
      <c r="O24" s="13">
        <f>2*1000</f>
        <v>2000</v>
      </c>
      <c r="P24" s="14">
        <f t="shared" si="4"/>
        <v>1880</v>
      </c>
      <c r="Q24" s="168">
        <f t="shared" si="0"/>
        <v>0</v>
      </c>
      <c r="R24" s="167">
        <f t="shared" si="5"/>
        <v>0</v>
      </c>
      <c r="X24" s="191"/>
      <c r="Y24" s="42"/>
    </row>
    <row r="25" spans="1:25" outlineLevel="1">
      <c r="A25" s="3"/>
      <c r="B25" s="11" t="s">
        <v>48</v>
      </c>
      <c r="C25" s="6"/>
      <c r="D25" s="6"/>
      <c r="E25" s="177"/>
      <c r="F25" s="6"/>
      <c r="G25" s="6"/>
      <c r="H25" s="177"/>
      <c r="I25" s="6"/>
      <c r="J25" s="6"/>
      <c r="K25" s="208"/>
      <c r="L25" s="203"/>
      <c r="M25" s="203"/>
      <c r="N25" s="203"/>
      <c r="O25" s="209"/>
      <c r="P25" s="6"/>
      <c r="Q25" s="7"/>
      <c r="R25" s="169"/>
      <c r="X25" s="191"/>
      <c r="Y25" s="191"/>
    </row>
    <row r="26" spans="1:25" outlineLevel="1">
      <c r="A26" s="3"/>
      <c r="B26" s="8" t="s">
        <v>55</v>
      </c>
      <c r="C26" s="13">
        <v>25</v>
      </c>
      <c r="D26" s="10">
        <f t="shared" ref="D26:D40" si="6">C26*0.94</f>
        <v>23.5</v>
      </c>
      <c r="E26" s="176">
        <v>0</v>
      </c>
      <c r="F26" s="13">
        <v>25</v>
      </c>
      <c r="G26" s="10">
        <f t="shared" ref="G26:G40" si="7">F26*0.94</f>
        <v>23.5</v>
      </c>
      <c r="H26" s="176">
        <v>0</v>
      </c>
      <c r="I26" s="13">
        <v>25</v>
      </c>
      <c r="J26" s="207">
        <f t="shared" ref="J26:J40" si="8">I26*0.94</f>
        <v>23.5</v>
      </c>
      <c r="K26" s="176">
        <v>0</v>
      </c>
      <c r="L26" s="202"/>
      <c r="M26" s="202"/>
      <c r="N26" s="202"/>
      <c r="O26" s="13">
        <v>25</v>
      </c>
      <c r="P26" s="10">
        <f t="shared" ref="P26:P40" si="9">O26*0.94</f>
        <v>23.5</v>
      </c>
      <c r="Q26" s="168">
        <f t="shared" ref="Q26:Q40" si="10">ROUND(AVERAGE(E26,H26,K26),0)</f>
        <v>0</v>
      </c>
      <c r="R26" s="167">
        <f t="shared" ref="R26:R40" si="11">ROUND(P26*Q26,2)</f>
        <v>0</v>
      </c>
      <c r="X26" s="191"/>
      <c r="Y26" s="191"/>
    </row>
    <row r="27" spans="1:25" outlineLevel="1">
      <c r="A27" s="3"/>
      <c r="B27" s="8" t="s">
        <v>56</v>
      </c>
      <c r="C27" s="13">
        <v>40</v>
      </c>
      <c r="D27" s="10">
        <f t="shared" si="6"/>
        <v>37.599999999999994</v>
      </c>
      <c r="E27" s="176">
        <v>0</v>
      </c>
      <c r="F27" s="13">
        <v>40</v>
      </c>
      <c r="G27" s="10">
        <f t="shared" si="7"/>
        <v>37.599999999999994</v>
      </c>
      <c r="H27" s="176">
        <v>0</v>
      </c>
      <c r="I27" s="13">
        <v>40</v>
      </c>
      <c r="J27" s="207">
        <f t="shared" si="8"/>
        <v>37.599999999999994</v>
      </c>
      <c r="K27" s="176">
        <v>0</v>
      </c>
      <c r="L27" s="202"/>
      <c r="M27" s="202"/>
      <c r="N27" s="202"/>
      <c r="O27" s="13">
        <v>40</v>
      </c>
      <c r="P27" s="10">
        <f t="shared" si="9"/>
        <v>37.599999999999994</v>
      </c>
      <c r="Q27" s="168">
        <f t="shared" si="10"/>
        <v>0</v>
      </c>
      <c r="R27" s="167">
        <f t="shared" si="11"/>
        <v>0</v>
      </c>
    </row>
    <row r="28" spans="1:25" outlineLevel="1">
      <c r="A28" s="3"/>
      <c r="B28" s="8" t="s">
        <v>54</v>
      </c>
      <c r="C28" s="13">
        <v>63</v>
      </c>
      <c r="D28" s="10">
        <f t="shared" si="6"/>
        <v>59.22</v>
      </c>
      <c r="E28" s="176">
        <v>0</v>
      </c>
      <c r="F28" s="13">
        <v>63</v>
      </c>
      <c r="G28" s="10">
        <f t="shared" si="7"/>
        <v>59.22</v>
      </c>
      <c r="H28" s="176">
        <v>0</v>
      </c>
      <c r="I28" s="13">
        <v>63</v>
      </c>
      <c r="J28" s="207">
        <f t="shared" si="8"/>
        <v>59.22</v>
      </c>
      <c r="K28" s="176">
        <v>0</v>
      </c>
      <c r="L28" s="202"/>
      <c r="M28" s="202"/>
      <c r="N28" s="202"/>
      <c r="O28" s="13">
        <v>63</v>
      </c>
      <c r="P28" s="10">
        <f t="shared" si="9"/>
        <v>59.22</v>
      </c>
      <c r="Q28" s="168">
        <f t="shared" si="10"/>
        <v>0</v>
      </c>
      <c r="R28" s="167">
        <f>ROUND(P28*Q28,2)</f>
        <v>0</v>
      </c>
      <c r="S28" s="166"/>
      <c r="T28" s="166"/>
    </row>
    <row r="29" spans="1:25" outlineLevel="1">
      <c r="A29" s="3"/>
      <c r="B29" s="8" t="s">
        <v>45</v>
      </c>
      <c r="C29" s="13">
        <v>100</v>
      </c>
      <c r="D29" s="10">
        <f t="shared" si="6"/>
        <v>94</v>
      </c>
      <c r="E29" s="176">
        <v>0</v>
      </c>
      <c r="F29" s="13">
        <v>100</v>
      </c>
      <c r="G29" s="10">
        <f t="shared" si="7"/>
        <v>94</v>
      </c>
      <c r="H29" s="176">
        <v>0</v>
      </c>
      <c r="I29" s="13">
        <v>100</v>
      </c>
      <c r="J29" s="207">
        <f t="shared" si="8"/>
        <v>94</v>
      </c>
      <c r="K29" s="176">
        <v>0</v>
      </c>
      <c r="L29" s="202"/>
      <c r="M29" s="202"/>
      <c r="N29" s="202"/>
      <c r="O29" s="13">
        <v>100</v>
      </c>
      <c r="P29" s="10">
        <f t="shared" si="9"/>
        <v>94</v>
      </c>
      <c r="Q29" s="168">
        <f t="shared" si="10"/>
        <v>0</v>
      </c>
      <c r="R29" s="167">
        <f t="shared" si="11"/>
        <v>0</v>
      </c>
      <c r="S29" s="166"/>
      <c r="T29" s="166"/>
    </row>
    <row r="30" spans="1:25" outlineLevel="1">
      <c r="A30" s="3"/>
      <c r="B30" s="8" t="s">
        <v>46</v>
      </c>
      <c r="C30" s="13">
        <v>160</v>
      </c>
      <c r="D30" s="10">
        <f t="shared" si="6"/>
        <v>150.39999999999998</v>
      </c>
      <c r="E30" s="176">
        <v>0</v>
      </c>
      <c r="F30" s="13">
        <v>160</v>
      </c>
      <c r="G30" s="10">
        <f t="shared" si="7"/>
        <v>150.39999999999998</v>
      </c>
      <c r="H30" s="176">
        <v>0</v>
      </c>
      <c r="I30" s="13">
        <v>160</v>
      </c>
      <c r="J30" s="207">
        <f t="shared" si="8"/>
        <v>150.39999999999998</v>
      </c>
      <c r="K30" s="176">
        <v>0</v>
      </c>
      <c r="L30" s="202"/>
      <c r="M30" s="202"/>
      <c r="N30" s="202"/>
      <c r="O30" s="13">
        <v>160</v>
      </c>
      <c r="P30" s="10">
        <f t="shared" si="9"/>
        <v>150.39999999999998</v>
      </c>
      <c r="Q30" s="168">
        <f t="shared" si="10"/>
        <v>0</v>
      </c>
      <c r="R30" s="167">
        <f t="shared" si="11"/>
        <v>0</v>
      </c>
      <c r="S30" s="166"/>
      <c r="T30" s="166"/>
    </row>
    <row r="31" spans="1:25" outlineLevel="1">
      <c r="A31" s="3"/>
      <c r="B31" s="8" t="s">
        <v>47</v>
      </c>
      <c r="C31" s="13">
        <v>250</v>
      </c>
      <c r="D31" s="10">
        <f t="shared" si="6"/>
        <v>235</v>
      </c>
      <c r="E31" s="176">
        <v>0</v>
      </c>
      <c r="F31" s="13">
        <v>250</v>
      </c>
      <c r="G31" s="10">
        <f t="shared" si="7"/>
        <v>235</v>
      </c>
      <c r="H31" s="176">
        <v>0</v>
      </c>
      <c r="I31" s="13">
        <v>250</v>
      </c>
      <c r="J31" s="207">
        <f t="shared" si="8"/>
        <v>235</v>
      </c>
      <c r="K31" s="176">
        <v>0</v>
      </c>
      <c r="L31" s="202"/>
      <c r="M31" s="202"/>
      <c r="N31" s="202"/>
      <c r="O31" s="13">
        <v>250</v>
      </c>
      <c r="P31" s="10">
        <f t="shared" si="9"/>
        <v>235</v>
      </c>
      <c r="Q31" s="168">
        <f t="shared" si="10"/>
        <v>0</v>
      </c>
      <c r="R31" s="167">
        <f t="shared" si="11"/>
        <v>0</v>
      </c>
      <c r="S31" s="166"/>
      <c r="T31" s="166"/>
    </row>
    <row r="32" spans="1:25" outlineLevel="1">
      <c r="A32" s="3"/>
      <c r="B32" s="8" t="s">
        <v>57</v>
      </c>
      <c r="C32" s="13">
        <v>400</v>
      </c>
      <c r="D32" s="10">
        <f t="shared" si="6"/>
        <v>376</v>
      </c>
      <c r="E32" s="176">
        <v>0</v>
      </c>
      <c r="F32" s="13">
        <v>400</v>
      </c>
      <c r="G32" s="10">
        <f t="shared" si="7"/>
        <v>376</v>
      </c>
      <c r="H32" s="176">
        <v>0</v>
      </c>
      <c r="I32" s="13">
        <v>400</v>
      </c>
      <c r="J32" s="207">
        <f t="shared" si="8"/>
        <v>376</v>
      </c>
      <c r="K32" s="176">
        <v>0</v>
      </c>
      <c r="L32" s="202"/>
      <c r="M32" s="202"/>
      <c r="N32" s="202"/>
      <c r="O32" s="13">
        <v>400</v>
      </c>
      <c r="P32" s="10">
        <f t="shared" si="9"/>
        <v>376</v>
      </c>
      <c r="Q32" s="168">
        <f t="shared" si="10"/>
        <v>0</v>
      </c>
      <c r="R32" s="167">
        <f t="shared" si="11"/>
        <v>0</v>
      </c>
      <c r="S32" s="166"/>
      <c r="T32" s="166"/>
    </row>
    <row r="33" spans="1:20" outlineLevel="1">
      <c r="A33" s="3"/>
      <c r="B33" s="8" t="s">
        <v>58</v>
      </c>
      <c r="C33" s="13">
        <v>630</v>
      </c>
      <c r="D33" s="10">
        <f t="shared" si="6"/>
        <v>592.19999999999993</v>
      </c>
      <c r="E33" s="176">
        <v>0</v>
      </c>
      <c r="F33" s="13">
        <v>630</v>
      </c>
      <c r="G33" s="10">
        <f t="shared" si="7"/>
        <v>592.19999999999993</v>
      </c>
      <c r="H33" s="176">
        <v>0</v>
      </c>
      <c r="I33" s="13">
        <v>630</v>
      </c>
      <c r="J33" s="207">
        <f t="shared" si="8"/>
        <v>592.19999999999993</v>
      </c>
      <c r="K33" s="176">
        <v>0</v>
      </c>
      <c r="L33" s="202"/>
      <c r="M33" s="202"/>
      <c r="N33" s="202"/>
      <c r="O33" s="13">
        <v>630</v>
      </c>
      <c r="P33" s="10">
        <f t="shared" si="9"/>
        <v>592.19999999999993</v>
      </c>
      <c r="Q33" s="168">
        <f t="shared" si="10"/>
        <v>0</v>
      </c>
      <c r="R33" s="167">
        <f t="shared" si="11"/>
        <v>0</v>
      </c>
    </row>
    <row r="34" spans="1:20" outlineLevel="1">
      <c r="A34" s="3"/>
      <c r="B34" s="9" t="s">
        <v>59</v>
      </c>
      <c r="C34" s="13">
        <v>1000</v>
      </c>
      <c r="D34" s="10">
        <f t="shared" si="6"/>
        <v>940</v>
      </c>
      <c r="E34" s="176">
        <v>0</v>
      </c>
      <c r="F34" s="13">
        <v>1000</v>
      </c>
      <c r="G34" s="10">
        <f t="shared" si="7"/>
        <v>940</v>
      </c>
      <c r="H34" s="176">
        <v>0</v>
      </c>
      <c r="I34" s="13">
        <v>1000</v>
      </c>
      <c r="J34" s="207">
        <f t="shared" si="8"/>
        <v>940</v>
      </c>
      <c r="K34" s="176">
        <v>0</v>
      </c>
      <c r="L34" s="202"/>
      <c r="M34" s="202"/>
      <c r="N34" s="202"/>
      <c r="O34" s="13">
        <v>1000</v>
      </c>
      <c r="P34" s="10">
        <f t="shared" si="9"/>
        <v>940</v>
      </c>
      <c r="Q34" s="168">
        <f t="shared" si="10"/>
        <v>0</v>
      </c>
      <c r="R34" s="167">
        <f t="shared" si="11"/>
        <v>0</v>
      </c>
    </row>
    <row r="35" spans="1:20" outlineLevel="1">
      <c r="A35" s="3"/>
      <c r="B35" s="9" t="s">
        <v>62</v>
      </c>
      <c r="C35" s="13">
        <v>160</v>
      </c>
      <c r="D35" s="10">
        <f t="shared" si="6"/>
        <v>150.39999999999998</v>
      </c>
      <c r="E35" s="176">
        <v>0</v>
      </c>
      <c r="F35" s="13">
        <v>160</v>
      </c>
      <c r="G35" s="10">
        <f t="shared" si="7"/>
        <v>150.39999999999998</v>
      </c>
      <c r="H35" s="176">
        <v>0</v>
      </c>
      <c r="I35" s="13">
        <v>160</v>
      </c>
      <c r="J35" s="207">
        <f t="shared" si="8"/>
        <v>150.39999999999998</v>
      </c>
      <c r="K35" s="176">
        <v>0</v>
      </c>
      <c r="L35" s="202"/>
      <c r="M35" s="202"/>
      <c r="N35" s="202"/>
      <c r="O35" s="13">
        <v>160</v>
      </c>
      <c r="P35" s="10">
        <f t="shared" si="9"/>
        <v>150.39999999999998</v>
      </c>
      <c r="Q35" s="168">
        <f t="shared" si="10"/>
        <v>0</v>
      </c>
      <c r="R35" s="167">
        <f t="shared" si="11"/>
        <v>0</v>
      </c>
      <c r="S35" s="166"/>
      <c r="T35" s="166"/>
    </row>
    <row r="36" spans="1:20" outlineLevel="1">
      <c r="A36" s="3"/>
      <c r="B36" s="9" t="s">
        <v>63</v>
      </c>
      <c r="C36" s="13">
        <f>2*160</f>
        <v>320</v>
      </c>
      <c r="D36" s="10">
        <f t="shared" si="6"/>
        <v>300.79999999999995</v>
      </c>
      <c r="E36" s="176">
        <v>0</v>
      </c>
      <c r="F36" s="13">
        <f>2*160</f>
        <v>320</v>
      </c>
      <c r="G36" s="10">
        <f t="shared" si="7"/>
        <v>300.79999999999995</v>
      </c>
      <c r="H36" s="176">
        <v>0</v>
      </c>
      <c r="I36" s="13">
        <f>2*160</f>
        <v>320</v>
      </c>
      <c r="J36" s="207">
        <f t="shared" si="8"/>
        <v>300.79999999999995</v>
      </c>
      <c r="K36" s="176">
        <v>0</v>
      </c>
      <c r="L36" s="202"/>
      <c r="M36" s="202"/>
      <c r="N36" s="202"/>
      <c r="O36" s="13">
        <f>2*160</f>
        <v>320</v>
      </c>
      <c r="P36" s="10">
        <f t="shared" si="9"/>
        <v>300.79999999999995</v>
      </c>
      <c r="Q36" s="168">
        <f t="shared" si="10"/>
        <v>0</v>
      </c>
      <c r="R36" s="167">
        <f t="shared" si="11"/>
        <v>0</v>
      </c>
      <c r="S36" s="166"/>
      <c r="T36" s="166"/>
    </row>
    <row r="37" spans="1:20" outlineLevel="1">
      <c r="A37" s="3"/>
      <c r="B37" s="9" t="s">
        <v>78</v>
      </c>
      <c r="C37" s="13">
        <f>2*250</f>
        <v>500</v>
      </c>
      <c r="D37" s="14">
        <f t="shared" si="6"/>
        <v>470</v>
      </c>
      <c r="E37" s="176">
        <v>0</v>
      </c>
      <c r="F37" s="13">
        <f>2*250</f>
        <v>500</v>
      </c>
      <c r="G37" s="14">
        <f t="shared" si="7"/>
        <v>470</v>
      </c>
      <c r="H37" s="176">
        <v>0</v>
      </c>
      <c r="I37" s="13">
        <f>2*250</f>
        <v>500</v>
      </c>
      <c r="J37" s="206">
        <f t="shared" si="8"/>
        <v>470</v>
      </c>
      <c r="K37" s="176">
        <v>0</v>
      </c>
      <c r="L37" s="202"/>
      <c r="M37" s="202"/>
      <c r="N37" s="202"/>
      <c r="O37" s="13">
        <f>2*250</f>
        <v>500</v>
      </c>
      <c r="P37" s="14">
        <f t="shared" si="9"/>
        <v>470</v>
      </c>
      <c r="Q37" s="168">
        <f t="shared" si="10"/>
        <v>0</v>
      </c>
      <c r="R37" s="167">
        <f t="shared" si="11"/>
        <v>0</v>
      </c>
    </row>
    <row r="38" spans="1:20" outlineLevel="1">
      <c r="A38" s="3"/>
      <c r="B38" s="9" t="s">
        <v>79</v>
      </c>
      <c r="C38" s="13">
        <f>2*400</f>
        <v>800</v>
      </c>
      <c r="D38" s="14">
        <f t="shared" si="6"/>
        <v>752</v>
      </c>
      <c r="E38" s="176">
        <v>0</v>
      </c>
      <c r="F38" s="13">
        <f>2*400</f>
        <v>800</v>
      </c>
      <c r="G38" s="14">
        <f t="shared" si="7"/>
        <v>752</v>
      </c>
      <c r="H38" s="176">
        <v>0</v>
      </c>
      <c r="I38" s="13">
        <f>2*400</f>
        <v>800</v>
      </c>
      <c r="J38" s="206">
        <f t="shared" si="8"/>
        <v>752</v>
      </c>
      <c r="K38" s="176">
        <v>0</v>
      </c>
      <c r="L38" s="202"/>
      <c r="M38" s="202"/>
      <c r="N38" s="202"/>
      <c r="O38" s="13">
        <f>2*400</f>
        <v>800</v>
      </c>
      <c r="P38" s="14">
        <f t="shared" si="9"/>
        <v>752</v>
      </c>
      <c r="Q38" s="168">
        <f t="shared" si="10"/>
        <v>0</v>
      </c>
      <c r="R38" s="167">
        <f t="shared" si="11"/>
        <v>0</v>
      </c>
    </row>
    <row r="39" spans="1:20" outlineLevel="1">
      <c r="A39" s="3"/>
      <c r="B39" s="9" t="s">
        <v>80</v>
      </c>
      <c r="C39" s="13">
        <f>2*630</f>
        <v>1260</v>
      </c>
      <c r="D39" s="14">
        <f t="shared" si="6"/>
        <v>1184.3999999999999</v>
      </c>
      <c r="E39" s="176">
        <v>0</v>
      </c>
      <c r="F39" s="13">
        <f>2*630</f>
        <v>1260</v>
      </c>
      <c r="G39" s="14">
        <f t="shared" si="7"/>
        <v>1184.3999999999999</v>
      </c>
      <c r="H39" s="176">
        <v>0</v>
      </c>
      <c r="I39" s="13">
        <f>2*630</f>
        <v>1260</v>
      </c>
      <c r="J39" s="206">
        <f t="shared" si="8"/>
        <v>1184.3999999999999</v>
      </c>
      <c r="K39" s="176">
        <v>0</v>
      </c>
      <c r="L39" s="202"/>
      <c r="M39" s="202"/>
      <c r="N39" s="202"/>
      <c r="O39" s="13">
        <f>2*630</f>
        <v>1260</v>
      </c>
      <c r="P39" s="14">
        <f t="shared" si="9"/>
        <v>1184.3999999999999</v>
      </c>
      <c r="Q39" s="168">
        <f t="shared" si="10"/>
        <v>0</v>
      </c>
      <c r="R39" s="167">
        <f t="shared" si="11"/>
        <v>0</v>
      </c>
    </row>
    <row r="40" spans="1:20" outlineLevel="1">
      <c r="A40" s="3"/>
      <c r="B40" s="9" t="s">
        <v>81</v>
      </c>
      <c r="C40" s="13">
        <f>2*1000</f>
        <v>2000</v>
      </c>
      <c r="D40" s="14">
        <f t="shared" si="6"/>
        <v>1880</v>
      </c>
      <c r="E40" s="176">
        <v>0</v>
      </c>
      <c r="F40" s="13">
        <f>2*1000</f>
        <v>2000</v>
      </c>
      <c r="G40" s="14">
        <f t="shared" si="7"/>
        <v>1880</v>
      </c>
      <c r="H40" s="176">
        <v>0</v>
      </c>
      <c r="I40" s="13">
        <f>2*1000</f>
        <v>2000</v>
      </c>
      <c r="J40" s="206">
        <f t="shared" si="8"/>
        <v>1880</v>
      </c>
      <c r="K40" s="176">
        <v>0</v>
      </c>
      <c r="L40" s="202"/>
      <c r="M40" s="202"/>
      <c r="N40" s="202"/>
      <c r="O40" s="13">
        <f>2*1000</f>
        <v>2000</v>
      </c>
      <c r="P40" s="14">
        <f t="shared" si="9"/>
        <v>1880</v>
      </c>
      <c r="Q40" s="168">
        <f t="shared" si="10"/>
        <v>0</v>
      </c>
      <c r="R40" s="167">
        <f t="shared" si="11"/>
        <v>0</v>
      </c>
    </row>
    <row r="41" spans="1:20" ht="24">
      <c r="A41" s="3" t="s">
        <v>1</v>
      </c>
      <c r="B41" s="12" t="s">
        <v>226</v>
      </c>
      <c r="C41" s="6"/>
      <c r="D41" s="6"/>
      <c r="E41" s="177"/>
      <c r="F41" s="6"/>
      <c r="G41" s="6"/>
      <c r="H41" s="177"/>
      <c r="I41" s="6"/>
      <c r="J41" s="6"/>
      <c r="K41" s="177"/>
      <c r="L41" s="201"/>
      <c r="M41" s="201"/>
      <c r="N41" s="201"/>
      <c r="O41" s="6"/>
      <c r="P41" s="6"/>
      <c r="Q41" s="7"/>
      <c r="R41" s="169"/>
    </row>
    <row r="42" spans="1:20" outlineLevel="1">
      <c r="A42" s="3"/>
      <c r="B42" s="11" t="s">
        <v>43</v>
      </c>
      <c r="C42" s="6"/>
      <c r="D42" s="6"/>
      <c r="E42" s="177"/>
      <c r="F42" s="6"/>
      <c r="G42" s="6"/>
      <c r="H42" s="177"/>
      <c r="I42" s="6"/>
      <c r="J42" s="6"/>
      <c r="K42" s="177"/>
      <c r="L42" s="192"/>
      <c r="M42" s="192"/>
      <c r="N42" s="192"/>
      <c r="O42" s="200"/>
      <c r="P42" s="197"/>
      <c r="Q42" s="198"/>
      <c r="R42" s="199"/>
    </row>
    <row r="43" spans="1:20" outlineLevel="1">
      <c r="A43" s="3"/>
      <c r="B43" s="8" t="s">
        <v>55</v>
      </c>
      <c r="C43" s="13">
        <v>25</v>
      </c>
      <c r="D43" s="14">
        <f t="shared" ref="D43:D57" si="12">C43*0.94</f>
        <v>23.5</v>
      </c>
      <c r="E43" s="176">
        <v>0</v>
      </c>
      <c r="F43" s="13">
        <v>25</v>
      </c>
      <c r="G43" s="14">
        <f t="shared" ref="G43:G57" si="13">F43*0.94</f>
        <v>23.5</v>
      </c>
      <c r="H43" s="176">
        <v>0</v>
      </c>
      <c r="I43" s="13">
        <v>25</v>
      </c>
      <c r="J43" s="14">
        <f t="shared" ref="J43:J57" si="14">I43*0.94</f>
        <v>23.5</v>
      </c>
      <c r="K43" s="176">
        <v>0</v>
      </c>
      <c r="L43" s="13">
        <v>25</v>
      </c>
      <c r="M43" s="14">
        <f t="shared" ref="M43:M57" si="15">L43*0.94</f>
        <v>23.5</v>
      </c>
      <c r="N43" s="176">
        <v>0</v>
      </c>
      <c r="O43" s="13">
        <v>25</v>
      </c>
      <c r="P43" s="14">
        <f t="shared" ref="P43:P57" si="16">O43*0.94</f>
        <v>23.5</v>
      </c>
      <c r="Q43" s="168">
        <f>ROUND(AVERAGE(E43,H43,SUM(K43,N43)),0)</f>
        <v>0</v>
      </c>
      <c r="R43" s="167">
        <f>ROUND(P43*Q43,2)</f>
        <v>0</v>
      </c>
    </row>
    <row r="44" spans="1:20" outlineLevel="1">
      <c r="A44" s="3"/>
      <c r="B44" s="8" t="s">
        <v>56</v>
      </c>
      <c r="C44" s="13">
        <v>40</v>
      </c>
      <c r="D44" s="14">
        <f t="shared" si="12"/>
        <v>37.599999999999994</v>
      </c>
      <c r="E44" s="176">
        <v>0</v>
      </c>
      <c r="F44" s="13">
        <v>40</v>
      </c>
      <c r="G44" s="14">
        <f t="shared" si="13"/>
        <v>37.599999999999994</v>
      </c>
      <c r="H44" s="176">
        <v>0</v>
      </c>
      <c r="I44" s="13">
        <v>40</v>
      </c>
      <c r="J44" s="14">
        <f t="shared" si="14"/>
        <v>37.599999999999994</v>
      </c>
      <c r="K44" s="176">
        <v>0</v>
      </c>
      <c r="L44" s="13">
        <v>40</v>
      </c>
      <c r="M44" s="14">
        <f>L44*0.94</f>
        <v>37.599999999999994</v>
      </c>
      <c r="N44" s="176">
        <v>0</v>
      </c>
      <c r="O44" s="13">
        <v>40</v>
      </c>
      <c r="P44" s="14">
        <f t="shared" si="16"/>
        <v>37.599999999999994</v>
      </c>
      <c r="Q44" s="168">
        <f t="shared" ref="Q44:Q57" si="17">ROUND(AVERAGE(E44,H44,SUM(K44,N44)),0)</f>
        <v>0</v>
      </c>
      <c r="R44" s="167">
        <f>ROUND(P44*Q44,2)</f>
        <v>0</v>
      </c>
    </row>
    <row r="45" spans="1:20" outlineLevel="1">
      <c r="A45" s="3"/>
      <c r="B45" s="8" t="s">
        <v>54</v>
      </c>
      <c r="C45" s="13">
        <v>63</v>
      </c>
      <c r="D45" s="14">
        <f t="shared" si="12"/>
        <v>59.22</v>
      </c>
      <c r="E45" s="176">
        <v>0</v>
      </c>
      <c r="F45" s="13">
        <v>63</v>
      </c>
      <c r="G45" s="14">
        <f t="shared" si="13"/>
        <v>59.22</v>
      </c>
      <c r="H45" s="176">
        <v>0</v>
      </c>
      <c r="I45" s="13">
        <v>63</v>
      </c>
      <c r="J45" s="14">
        <f t="shared" si="14"/>
        <v>59.22</v>
      </c>
      <c r="K45" s="176">
        <v>0</v>
      </c>
      <c r="L45" s="13">
        <v>63</v>
      </c>
      <c r="M45" s="14">
        <f t="shared" si="15"/>
        <v>59.22</v>
      </c>
      <c r="N45" s="176">
        <v>0</v>
      </c>
      <c r="O45" s="13">
        <v>63</v>
      </c>
      <c r="P45" s="14">
        <f t="shared" si="16"/>
        <v>59.22</v>
      </c>
      <c r="Q45" s="168">
        <f t="shared" si="17"/>
        <v>0</v>
      </c>
      <c r="R45" s="167">
        <f>ROUND(P45*Q45,2)</f>
        <v>0</v>
      </c>
      <c r="S45" s="166"/>
      <c r="T45" s="166"/>
    </row>
    <row r="46" spans="1:20" outlineLevel="1">
      <c r="A46" s="3"/>
      <c r="B46" s="8" t="s">
        <v>45</v>
      </c>
      <c r="C46" s="13">
        <v>100</v>
      </c>
      <c r="D46" s="14">
        <f t="shared" si="12"/>
        <v>94</v>
      </c>
      <c r="E46" s="176">
        <v>0</v>
      </c>
      <c r="F46" s="13">
        <v>100</v>
      </c>
      <c r="G46" s="14">
        <f t="shared" si="13"/>
        <v>94</v>
      </c>
      <c r="H46" s="176">
        <v>0</v>
      </c>
      <c r="I46" s="13">
        <v>100</v>
      </c>
      <c r="J46" s="14">
        <f t="shared" si="14"/>
        <v>94</v>
      </c>
      <c r="K46" s="176">
        <v>0</v>
      </c>
      <c r="L46" s="13">
        <v>100</v>
      </c>
      <c r="M46" s="14">
        <f t="shared" si="15"/>
        <v>94</v>
      </c>
      <c r="N46" s="176">
        <v>0</v>
      </c>
      <c r="O46" s="13">
        <v>100</v>
      </c>
      <c r="P46" s="14">
        <f t="shared" si="16"/>
        <v>94</v>
      </c>
      <c r="Q46" s="168">
        <f t="shared" si="17"/>
        <v>0</v>
      </c>
      <c r="R46" s="167">
        <f t="shared" ref="R46:R57" si="18">ROUND(P46*Q46,2)</f>
        <v>0</v>
      </c>
      <c r="S46" s="166"/>
      <c r="T46" s="166"/>
    </row>
    <row r="47" spans="1:20" outlineLevel="1">
      <c r="A47" s="3"/>
      <c r="B47" s="8" t="s">
        <v>46</v>
      </c>
      <c r="C47" s="13">
        <v>160</v>
      </c>
      <c r="D47" s="14">
        <f t="shared" si="12"/>
        <v>150.39999999999998</v>
      </c>
      <c r="E47" s="176">
        <v>0</v>
      </c>
      <c r="F47" s="13">
        <v>160</v>
      </c>
      <c r="G47" s="14">
        <f t="shared" si="13"/>
        <v>150.39999999999998</v>
      </c>
      <c r="H47" s="176">
        <v>0</v>
      </c>
      <c r="I47" s="13">
        <v>160</v>
      </c>
      <c r="J47" s="14">
        <f t="shared" si="14"/>
        <v>150.39999999999998</v>
      </c>
      <c r="K47" s="176">
        <v>0</v>
      </c>
      <c r="L47" s="13">
        <v>160</v>
      </c>
      <c r="M47" s="14">
        <f t="shared" si="15"/>
        <v>150.39999999999998</v>
      </c>
      <c r="N47" s="176">
        <v>0</v>
      </c>
      <c r="O47" s="13">
        <v>160</v>
      </c>
      <c r="P47" s="14">
        <f t="shared" si="16"/>
        <v>150.39999999999998</v>
      </c>
      <c r="Q47" s="168">
        <f t="shared" si="17"/>
        <v>0</v>
      </c>
      <c r="R47" s="167">
        <f t="shared" si="18"/>
        <v>0</v>
      </c>
      <c r="S47" s="166"/>
      <c r="T47" s="166"/>
    </row>
    <row r="48" spans="1:20" outlineLevel="1">
      <c r="A48" s="3"/>
      <c r="B48" s="8" t="s">
        <v>47</v>
      </c>
      <c r="C48" s="13">
        <v>250</v>
      </c>
      <c r="D48" s="14">
        <f t="shared" si="12"/>
        <v>235</v>
      </c>
      <c r="E48" s="176">
        <v>0</v>
      </c>
      <c r="F48" s="13">
        <v>250</v>
      </c>
      <c r="G48" s="14">
        <f t="shared" si="13"/>
        <v>235</v>
      </c>
      <c r="H48" s="176">
        <v>0</v>
      </c>
      <c r="I48" s="13">
        <v>250</v>
      </c>
      <c r="J48" s="14">
        <f t="shared" si="14"/>
        <v>235</v>
      </c>
      <c r="K48" s="176">
        <v>0</v>
      </c>
      <c r="L48" s="13">
        <v>250</v>
      </c>
      <c r="M48" s="14">
        <f t="shared" si="15"/>
        <v>235</v>
      </c>
      <c r="N48" s="176">
        <v>0</v>
      </c>
      <c r="O48" s="13">
        <v>250</v>
      </c>
      <c r="P48" s="14">
        <f t="shared" si="16"/>
        <v>235</v>
      </c>
      <c r="Q48" s="168">
        <f t="shared" si="17"/>
        <v>0</v>
      </c>
      <c r="R48" s="167">
        <f t="shared" si="18"/>
        <v>0</v>
      </c>
      <c r="S48" s="166"/>
      <c r="T48" s="166"/>
    </row>
    <row r="49" spans="1:20" outlineLevel="1">
      <c r="A49" s="3"/>
      <c r="B49" s="8" t="s">
        <v>57</v>
      </c>
      <c r="C49" s="13">
        <v>400</v>
      </c>
      <c r="D49" s="14">
        <f t="shared" si="12"/>
        <v>376</v>
      </c>
      <c r="E49" s="176">
        <v>0</v>
      </c>
      <c r="F49" s="13">
        <v>400</v>
      </c>
      <c r="G49" s="14">
        <f t="shared" si="13"/>
        <v>376</v>
      </c>
      <c r="H49" s="176">
        <v>0</v>
      </c>
      <c r="I49" s="13">
        <v>400</v>
      </c>
      <c r="J49" s="14">
        <f t="shared" si="14"/>
        <v>376</v>
      </c>
      <c r="K49" s="176">
        <v>0</v>
      </c>
      <c r="L49" s="13">
        <v>400</v>
      </c>
      <c r="M49" s="14">
        <f t="shared" si="15"/>
        <v>376</v>
      </c>
      <c r="N49" s="176">
        <v>0</v>
      </c>
      <c r="O49" s="13">
        <v>400</v>
      </c>
      <c r="P49" s="14">
        <f t="shared" si="16"/>
        <v>376</v>
      </c>
      <c r="Q49" s="168">
        <f t="shared" si="17"/>
        <v>0</v>
      </c>
      <c r="R49" s="167">
        <f t="shared" si="18"/>
        <v>0</v>
      </c>
      <c r="S49" s="166"/>
      <c r="T49" s="166"/>
    </row>
    <row r="50" spans="1:20" outlineLevel="1">
      <c r="A50" s="3"/>
      <c r="B50" s="8" t="s">
        <v>58</v>
      </c>
      <c r="C50" s="13">
        <v>630</v>
      </c>
      <c r="D50" s="14">
        <f t="shared" si="12"/>
        <v>592.19999999999993</v>
      </c>
      <c r="E50" s="176">
        <v>0</v>
      </c>
      <c r="F50" s="13">
        <v>630</v>
      </c>
      <c r="G50" s="14">
        <f t="shared" si="13"/>
        <v>592.19999999999993</v>
      </c>
      <c r="H50" s="176">
        <v>0</v>
      </c>
      <c r="I50" s="13">
        <v>630</v>
      </c>
      <c r="J50" s="14">
        <f t="shared" si="14"/>
        <v>592.19999999999993</v>
      </c>
      <c r="K50" s="176">
        <v>0</v>
      </c>
      <c r="L50" s="13">
        <v>630</v>
      </c>
      <c r="M50" s="14">
        <f t="shared" si="15"/>
        <v>592.19999999999993</v>
      </c>
      <c r="N50" s="176">
        <v>0</v>
      </c>
      <c r="O50" s="13">
        <v>630</v>
      </c>
      <c r="P50" s="14">
        <f t="shared" si="16"/>
        <v>592.19999999999993</v>
      </c>
      <c r="Q50" s="168">
        <f t="shared" si="17"/>
        <v>0</v>
      </c>
      <c r="R50" s="167">
        <f t="shared" si="18"/>
        <v>0</v>
      </c>
    </row>
    <row r="51" spans="1:20" outlineLevel="1">
      <c r="A51" s="3"/>
      <c r="B51" s="9" t="s">
        <v>59</v>
      </c>
      <c r="C51" s="13">
        <v>1000</v>
      </c>
      <c r="D51" s="14">
        <f t="shared" si="12"/>
        <v>940</v>
      </c>
      <c r="E51" s="176">
        <v>0</v>
      </c>
      <c r="F51" s="13">
        <v>1000</v>
      </c>
      <c r="G51" s="14">
        <f t="shared" si="13"/>
        <v>940</v>
      </c>
      <c r="H51" s="176">
        <v>0</v>
      </c>
      <c r="I51" s="13">
        <v>1000</v>
      </c>
      <c r="J51" s="14">
        <f t="shared" si="14"/>
        <v>940</v>
      </c>
      <c r="K51" s="176">
        <v>0</v>
      </c>
      <c r="L51" s="13">
        <v>1000</v>
      </c>
      <c r="M51" s="14">
        <f t="shared" si="15"/>
        <v>940</v>
      </c>
      <c r="N51" s="176">
        <v>0</v>
      </c>
      <c r="O51" s="13">
        <v>1000</v>
      </c>
      <c r="P51" s="14">
        <f t="shared" si="16"/>
        <v>940</v>
      </c>
      <c r="Q51" s="168">
        <f t="shared" si="17"/>
        <v>0</v>
      </c>
      <c r="R51" s="167">
        <f t="shared" si="18"/>
        <v>0</v>
      </c>
    </row>
    <row r="52" spans="1:20" outlineLevel="1">
      <c r="A52" s="3"/>
      <c r="B52" s="9" t="s">
        <v>62</v>
      </c>
      <c r="C52" s="13">
        <v>160</v>
      </c>
      <c r="D52" s="14">
        <f t="shared" si="12"/>
        <v>150.39999999999998</v>
      </c>
      <c r="E52" s="176">
        <v>0</v>
      </c>
      <c r="F52" s="13">
        <v>160</v>
      </c>
      <c r="G52" s="14">
        <f t="shared" si="13"/>
        <v>150.39999999999998</v>
      </c>
      <c r="H52" s="176">
        <v>0</v>
      </c>
      <c r="I52" s="13">
        <v>160</v>
      </c>
      <c r="J52" s="14">
        <f t="shared" si="14"/>
        <v>150.39999999999998</v>
      </c>
      <c r="K52" s="176">
        <v>0</v>
      </c>
      <c r="L52" s="13">
        <v>160</v>
      </c>
      <c r="M52" s="14">
        <f t="shared" si="15"/>
        <v>150.39999999999998</v>
      </c>
      <c r="N52" s="176">
        <v>0</v>
      </c>
      <c r="O52" s="13">
        <v>160</v>
      </c>
      <c r="P52" s="14">
        <f t="shared" si="16"/>
        <v>150.39999999999998</v>
      </c>
      <c r="Q52" s="168">
        <f t="shared" si="17"/>
        <v>0</v>
      </c>
      <c r="R52" s="167">
        <f t="shared" si="18"/>
        <v>0</v>
      </c>
      <c r="S52" s="166"/>
      <c r="T52" s="166"/>
    </row>
    <row r="53" spans="1:20" outlineLevel="1">
      <c r="A53" s="3"/>
      <c r="B53" s="9" t="s">
        <v>63</v>
      </c>
      <c r="C53" s="13">
        <f>2*160</f>
        <v>320</v>
      </c>
      <c r="D53" s="14">
        <f t="shared" si="12"/>
        <v>300.79999999999995</v>
      </c>
      <c r="E53" s="176">
        <v>0</v>
      </c>
      <c r="F53" s="13">
        <f>2*160</f>
        <v>320</v>
      </c>
      <c r="G53" s="14">
        <f t="shared" si="13"/>
        <v>300.79999999999995</v>
      </c>
      <c r="H53" s="176">
        <v>0</v>
      </c>
      <c r="I53" s="13">
        <f>2*160</f>
        <v>320</v>
      </c>
      <c r="J53" s="14">
        <f t="shared" si="14"/>
        <v>300.79999999999995</v>
      </c>
      <c r="K53" s="176">
        <v>0</v>
      </c>
      <c r="L53" s="13">
        <f>2*160</f>
        <v>320</v>
      </c>
      <c r="M53" s="14">
        <f t="shared" si="15"/>
        <v>300.79999999999995</v>
      </c>
      <c r="N53" s="176">
        <v>0</v>
      </c>
      <c r="O53" s="13">
        <f>2*160</f>
        <v>320</v>
      </c>
      <c r="P53" s="14">
        <f t="shared" si="16"/>
        <v>300.79999999999995</v>
      </c>
      <c r="Q53" s="168">
        <f t="shared" si="17"/>
        <v>0</v>
      </c>
      <c r="R53" s="167">
        <f t="shared" si="18"/>
        <v>0</v>
      </c>
      <c r="S53" s="166"/>
      <c r="T53" s="166"/>
    </row>
    <row r="54" spans="1:20" outlineLevel="1">
      <c r="A54" s="3"/>
      <c r="B54" s="9" t="s">
        <v>78</v>
      </c>
      <c r="C54" s="13">
        <f>2*250</f>
        <v>500</v>
      </c>
      <c r="D54" s="14">
        <f t="shared" si="12"/>
        <v>470</v>
      </c>
      <c r="E54" s="176">
        <v>0</v>
      </c>
      <c r="F54" s="13">
        <f>2*250</f>
        <v>500</v>
      </c>
      <c r="G54" s="14">
        <f t="shared" si="13"/>
        <v>470</v>
      </c>
      <c r="H54" s="176">
        <v>0</v>
      </c>
      <c r="I54" s="13">
        <f>2*250</f>
        <v>500</v>
      </c>
      <c r="J54" s="14">
        <f t="shared" si="14"/>
        <v>470</v>
      </c>
      <c r="K54" s="176">
        <v>0</v>
      </c>
      <c r="L54" s="13">
        <f>2*250</f>
        <v>500</v>
      </c>
      <c r="M54" s="14">
        <f t="shared" si="15"/>
        <v>470</v>
      </c>
      <c r="N54" s="176">
        <v>0</v>
      </c>
      <c r="O54" s="13">
        <f>2*250</f>
        <v>500</v>
      </c>
      <c r="P54" s="14">
        <f t="shared" si="16"/>
        <v>470</v>
      </c>
      <c r="Q54" s="168">
        <f t="shared" si="17"/>
        <v>0</v>
      </c>
      <c r="R54" s="167">
        <f t="shared" si="18"/>
        <v>0</v>
      </c>
    </row>
    <row r="55" spans="1:20" outlineLevel="1">
      <c r="A55" s="3"/>
      <c r="B55" s="9" t="s">
        <v>79</v>
      </c>
      <c r="C55" s="13">
        <f>2*400</f>
        <v>800</v>
      </c>
      <c r="D55" s="14">
        <f t="shared" si="12"/>
        <v>752</v>
      </c>
      <c r="E55" s="176">
        <v>0</v>
      </c>
      <c r="F55" s="13">
        <f>2*400</f>
        <v>800</v>
      </c>
      <c r="G55" s="14">
        <f t="shared" si="13"/>
        <v>752</v>
      </c>
      <c r="H55" s="176">
        <v>0</v>
      </c>
      <c r="I55" s="13">
        <f>2*400</f>
        <v>800</v>
      </c>
      <c r="J55" s="14">
        <f t="shared" si="14"/>
        <v>752</v>
      </c>
      <c r="K55" s="176">
        <v>0</v>
      </c>
      <c r="L55" s="13">
        <f>2*400</f>
        <v>800</v>
      </c>
      <c r="M55" s="14">
        <f t="shared" si="15"/>
        <v>752</v>
      </c>
      <c r="N55" s="176">
        <v>0</v>
      </c>
      <c r="O55" s="13">
        <f>2*400</f>
        <v>800</v>
      </c>
      <c r="P55" s="14">
        <f t="shared" si="16"/>
        <v>752</v>
      </c>
      <c r="Q55" s="168">
        <f t="shared" si="17"/>
        <v>0</v>
      </c>
      <c r="R55" s="167">
        <f t="shared" si="18"/>
        <v>0</v>
      </c>
    </row>
    <row r="56" spans="1:20" outlineLevel="1">
      <c r="A56" s="3"/>
      <c r="B56" s="9" t="s">
        <v>80</v>
      </c>
      <c r="C56" s="13">
        <f>2*630</f>
        <v>1260</v>
      </c>
      <c r="D56" s="14">
        <f t="shared" si="12"/>
        <v>1184.3999999999999</v>
      </c>
      <c r="E56" s="176">
        <v>0</v>
      </c>
      <c r="F56" s="13">
        <f>2*630</f>
        <v>1260</v>
      </c>
      <c r="G56" s="14">
        <f t="shared" si="13"/>
        <v>1184.3999999999999</v>
      </c>
      <c r="H56" s="176">
        <v>0</v>
      </c>
      <c r="I56" s="13">
        <f>2*630</f>
        <v>1260</v>
      </c>
      <c r="J56" s="14">
        <f t="shared" si="14"/>
        <v>1184.3999999999999</v>
      </c>
      <c r="K56" s="176">
        <v>0</v>
      </c>
      <c r="L56" s="13">
        <f>2*630</f>
        <v>1260</v>
      </c>
      <c r="M56" s="14">
        <f t="shared" si="15"/>
        <v>1184.3999999999999</v>
      </c>
      <c r="N56" s="176">
        <v>0</v>
      </c>
      <c r="O56" s="13">
        <f>2*630</f>
        <v>1260</v>
      </c>
      <c r="P56" s="14">
        <f t="shared" si="16"/>
        <v>1184.3999999999999</v>
      </c>
      <c r="Q56" s="168">
        <f t="shared" si="17"/>
        <v>0</v>
      </c>
      <c r="R56" s="167">
        <f t="shared" si="18"/>
        <v>0</v>
      </c>
    </row>
    <row r="57" spans="1:20" outlineLevel="1">
      <c r="A57" s="3"/>
      <c r="B57" s="9" t="s">
        <v>81</v>
      </c>
      <c r="C57" s="13">
        <f>2*1000</f>
        <v>2000</v>
      </c>
      <c r="D57" s="14">
        <f t="shared" si="12"/>
        <v>1880</v>
      </c>
      <c r="E57" s="176">
        <v>0</v>
      </c>
      <c r="F57" s="13">
        <f>2*1000</f>
        <v>2000</v>
      </c>
      <c r="G57" s="14">
        <f t="shared" si="13"/>
        <v>1880</v>
      </c>
      <c r="H57" s="176">
        <v>0</v>
      </c>
      <c r="I57" s="13">
        <f>2*1000</f>
        <v>2000</v>
      </c>
      <c r="J57" s="14">
        <f t="shared" si="14"/>
        <v>1880</v>
      </c>
      <c r="K57" s="176">
        <v>0</v>
      </c>
      <c r="L57" s="13">
        <f>2*1000</f>
        <v>2000</v>
      </c>
      <c r="M57" s="14">
        <f t="shared" si="15"/>
        <v>1880</v>
      </c>
      <c r="N57" s="176">
        <v>0</v>
      </c>
      <c r="O57" s="13">
        <f>2*1000</f>
        <v>2000</v>
      </c>
      <c r="P57" s="14">
        <f t="shared" si="16"/>
        <v>1880</v>
      </c>
      <c r="Q57" s="168">
        <f t="shared" si="17"/>
        <v>0</v>
      </c>
      <c r="R57" s="167">
        <f t="shared" si="18"/>
        <v>0</v>
      </c>
    </row>
    <row r="58" spans="1:20" outlineLevel="1">
      <c r="A58" s="3"/>
      <c r="B58" s="11" t="s">
        <v>48</v>
      </c>
      <c r="C58" s="6"/>
      <c r="D58" s="6"/>
      <c r="E58" s="177"/>
      <c r="F58" s="6"/>
      <c r="G58" s="6"/>
      <c r="H58" s="177"/>
      <c r="I58" s="6"/>
      <c r="J58" s="6"/>
      <c r="K58" s="177"/>
      <c r="L58" s="188"/>
      <c r="M58" s="188"/>
      <c r="N58" s="177"/>
      <c r="O58" s="6"/>
      <c r="P58" s="6"/>
      <c r="Q58" s="7"/>
      <c r="R58" s="169"/>
    </row>
    <row r="59" spans="1:20" outlineLevel="1">
      <c r="A59" s="3"/>
      <c r="B59" s="8" t="s">
        <v>55</v>
      </c>
      <c r="C59" s="13">
        <v>25</v>
      </c>
      <c r="D59" s="10">
        <f t="shared" ref="D59:D73" si="19">C59*0.94</f>
        <v>23.5</v>
      </c>
      <c r="E59" s="176">
        <v>0</v>
      </c>
      <c r="F59" s="13">
        <v>25</v>
      </c>
      <c r="G59" s="10">
        <f t="shared" ref="G59:G73" si="20">F59*0.94</f>
        <v>23.5</v>
      </c>
      <c r="H59" s="176">
        <v>0</v>
      </c>
      <c r="I59" s="13">
        <v>25</v>
      </c>
      <c r="J59" s="10">
        <f t="shared" ref="J59:J73" si="21">I59*0.94</f>
        <v>23.5</v>
      </c>
      <c r="K59" s="176">
        <v>0</v>
      </c>
      <c r="L59" s="13">
        <v>25</v>
      </c>
      <c r="M59" s="10">
        <f t="shared" ref="M59:M73" si="22">L59*0.94</f>
        <v>23.5</v>
      </c>
      <c r="N59" s="176">
        <v>0</v>
      </c>
      <c r="O59" s="13">
        <v>25</v>
      </c>
      <c r="P59" s="10">
        <f t="shared" ref="P59:P73" si="23">O59*0.94</f>
        <v>23.5</v>
      </c>
      <c r="Q59" s="168">
        <f>ROUND(AVERAGE(E59,H59,SUM(K59,N59)),0)</f>
        <v>0</v>
      </c>
      <c r="R59" s="167">
        <f t="shared" ref="R59:R73" si="24">ROUND(P59*Q59,2)</f>
        <v>0</v>
      </c>
    </row>
    <row r="60" spans="1:20" outlineLevel="1">
      <c r="A60" s="3"/>
      <c r="B60" s="8" t="s">
        <v>56</v>
      </c>
      <c r="C60" s="13">
        <v>40</v>
      </c>
      <c r="D60" s="10">
        <f t="shared" si="19"/>
        <v>37.599999999999994</v>
      </c>
      <c r="E60" s="176">
        <v>0</v>
      </c>
      <c r="F60" s="13">
        <v>40</v>
      </c>
      <c r="G60" s="10">
        <f t="shared" si="20"/>
        <v>37.599999999999994</v>
      </c>
      <c r="H60" s="176">
        <v>0</v>
      </c>
      <c r="I60" s="13">
        <v>40</v>
      </c>
      <c r="J60" s="10">
        <f t="shared" si="21"/>
        <v>37.599999999999994</v>
      </c>
      <c r="K60" s="176">
        <v>0</v>
      </c>
      <c r="L60" s="13">
        <v>40</v>
      </c>
      <c r="M60" s="10">
        <f t="shared" si="22"/>
        <v>37.599999999999994</v>
      </c>
      <c r="N60" s="176">
        <v>0</v>
      </c>
      <c r="O60" s="13">
        <v>40</v>
      </c>
      <c r="P60" s="10">
        <f t="shared" si="23"/>
        <v>37.599999999999994</v>
      </c>
      <c r="Q60" s="168">
        <f t="shared" ref="Q60:Q73" si="25">ROUND(AVERAGE(E60,H60,SUM(K60,N60)),0)</f>
        <v>0</v>
      </c>
      <c r="R60" s="167">
        <f t="shared" si="24"/>
        <v>0</v>
      </c>
    </row>
    <row r="61" spans="1:20" outlineLevel="1">
      <c r="A61" s="3"/>
      <c r="B61" s="8" t="s">
        <v>54</v>
      </c>
      <c r="C61" s="13">
        <v>63</v>
      </c>
      <c r="D61" s="10">
        <f t="shared" si="19"/>
        <v>59.22</v>
      </c>
      <c r="E61" s="176">
        <v>0</v>
      </c>
      <c r="F61" s="13">
        <v>63</v>
      </c>
      <c r="G61" s="10">
        <f t="shared" si="20"/>
        <v>59.22</v>
      </c>
      <c r="H61" s="176">
        <v>0</v>
      </c>
      <c r="I61" s="13">
        <v>63</v>
      </c>
      <c r="J61" s="10">
        <f t="shared" si="21"/>
        <v>59.22</v>
      </c>
      <c r="K61" s="176">
        <v>0</v>
      </c>
      <c r="L61" s="13">
        <v>63</v>
      </c>
      <c r="M61" s="10">
        <f t="shared" si="22"/>
        <v>59.22</v>
      </c>
      <c r="N61" s="176">
        <v>0</v>
      </c>
      <c r="O61" s="13">
        <v>63</v>
      </c>
      <c r="P61" s="10">
        <f t="shared" si="23"/>
        <v>59.22</v>
      </c>
      <c r="Q61" s="168">
        <f t="shared" si="25"/>
        <v>0</v>
      </c>
      <c r="R61" s="167">
        <f t="shared" si="24"/>
        <v>0</v>
      </c>
      <c r="S61" s="166"/>
      <c r="T61" s="166"/>
    </row>
    <row r="62" spans="1:20" outlineLevel="1">
      <c r="A62" s="3"/>
      <c r="B62" s="8" t="s">
        <v>45</v>
      </c>
      <c r="C62" s="13">
        <v>100</v>
      </c>
      <c r="D62" s="10">
        <f t="shared" si="19"/>
        <v>94</v>
      </c>
      <c r="E62" s="176">
        <v>0</v>
      </c>
      <c r="F62" s="13">
        <v>100</v>
      </c>
      <c r="G62" s="10">
        <f t="shared" si="20"/>
        <v>94</v>
      </c>
      <c r="H62" s="176">
        <v>0</v>
      </c>
      <c r="I62" s="13">
        <v>100</v>
      </c>
      <c r="J62" s="10">
        <f t="shared" si="21"/>
        <v>94</v>
      </c>
      <c r="K62" s="176">
        <v>0</v>
      </c>
      <c r="L62" s="13">
        <v>100</v>
      </c>
      <c r="M62" s="10">
        <f t="shared" si="22"/>
        <v>94</v>
      </c>
      <c r="N62" s="176">
        <v>0</v>
      </c>
      <c r="O62" s="13">
        <v>100</v>
      </c>
      <c r="P62" s="10">
        <f t="shared" si="23"/>
        <v>94</v>
      </c>
      <c r="Q62" s="168">
        <f t="shared" si="25"/>
        <v>0</v>
      </c>
      <c r="R62" s="167">
        <f t="shared" si="24"/>
        <v>0</v>
      </c>
      <c r="S62" s="166"/>
      <c r="T62" s="166"/>
    </row>
    <row r="63" spans="1:20" outlineLevel="1">
      <c r="A63" s="3"/>
      <c r="B63" s="8" t="s">
        <v>46</v>
      </c>
      <c r="C63" s="13">
        <v>160</v>
      </c>
      <c r="D63" s="10">
        <f t="shared" si="19"/>
        <v>150.39999999999998</v>
      </c>
      <c r="E63" s="176">
        <v>0</v>
      </c>
      <c r="F63" s="13">
        <v>160</v>
      </c>
      <c r="G63" s="10">
        <f t="shared" si="20"/>
        <v>150.39999999999998</v>
      </c>
      <c r="H63" s="176">
        <v>0</v>
      </c>
      <c r="I63" s="13">
        <v>160</v>
      </c>
      <c r="J63" s="10">
        <f t="shared" si="21"/>
        <v>150.39999999999998</v>
      </c>
      <c r="K63" s="176">
        <v>0</v>
      </c>
      <c r="L63" s="13">
        <v>160</v>
      </c>
      <c r="M63" s="10">
        <f t="shared" si="22"/>
        <v>150.39999999999998</v>
      </c>
      <c r="N63" s="176">
        <v>0</v>
      </c>
      <c r="O63" s="13">
        <v>160</v>
      </c>
      <c r="P63" s="10">
        <f t="shared" si="23"/>
        <v>150.39999999999998</v>
      </c>
      <c r="Q63" s="168">
        <f t="shared" si="25"/>
        <v>0</v>
      </c>
      <c r="R63" s="167">
        <f t="shared" si="24"/>
        <v>0</v>
      </c>
      <c r="S63" s="166"/>
      <c r="T63" s="166"/>
    </row>
    <row r="64" spans="1:20" outlineLevel="1">
      <c r="A64" s="3"/>
      <c r="B64" s="8" t="s">
        <v>47</v>
      </c>
      <c r="C64" s="13">
        <v>250</v>
      </c>
      <c r="D64" s="10">
        <f t="shared" si="19"/>
        <v>235</v>
      </c>
      <c r="E64" s="176">
        <v>0</v>
      </c>
      <c r="F64" s="13">
        <v>250</v>
      </c>
      <c r="G64" s="10">
        <f t="shared" si="20"/>
        <v>235</v>
      </c>
      <c r="H64" s="176">
        <v>0</v>
      </c>
      <c r="I64" s="13">
        <v>250</v>
      </c>
      <c r="J64" s="10">
        <f t="shared" si="21"/>
        <v>235</v>
      </c>
      <c r="K64" s="176">
        <v>0</v>
      </c>
      <c r="L64" s="13">
        <v>250</v>
      </c>
      <c r="M64" s="10">
        <f t="shared" si="22"/>
        <v>235</v>
      </c>
      <c r="N64" s="176">
        <v>0</v>
      </c>
      <c r="O64" s="13">
        <v>250</v>
      </c>
      <c r="P64" s="10">
        <f t="shared" si="23"/>
        <v>235</v>
      </c>
      <c r="Q64" s="168">
        <f t="shared" si="25"/>
        <v>0</v>
      </c>
      <c r="R64" s="167">
        <f t="shared" si="24"/>
        <v>0</v>
      </c>
      <c r="S64" s="166"/>
      <c r="T64" s="166"/>
    </row>
    <row r="65" spans="1:20" outlineLevel="1">
      <c r="A65" s="3"/>
      <c r="B65" s="8" t="s">
        <v>57</v>
      </c>
      <c r="C65" s="13">
        <v>400</v>
      </c>
      <c r="D65" s="10">
        <f t="shared" si="19"/>
        <v>376</v>
      </c>
      <c r="E65" s="176">
        <v>0</v>
      </c>
      <c r="F65" s="13">
        <v>400</v>
      </c>
      <c r="G65" s="10">
        <f t="shared" si="20"/>
        <v>376</v>
      </c>
      <c r="H65" s="176">
        <v>0</v>
      </c>
      <c r="I65" s="13">
        <v>400</v>
      </c>
      <c r="J65" s="10">
        <f t="shared" si="21"/>
        <v>376</v>
      </c>
      <c r="K65" s="176">
        <v>0</v>
      </c>
      <c r="L65" s="13">
        <v>400</v>
      </c>
      <c r="M65" s="10">
        <f t="shared" si="22"/>
        <v>376</v>
      </c>
      <c r="N65" s="176">
        <v>0</v>
      </c>
      <c r="O65" s="13">
        <v>400</v>
      </c>
      <c r="P65" s="10">
        <f t="shared" si="23"/>
        <v>376</v>
      </c>
      <c r="Q65" s="168">
        <f t="shared" si="25"/>
        <v>0</v>
      </c>
      <c r="R65" s="167">
        <f t="shared" si="24"/>
        <v>0</v>
      </c>
      <c r="S65" s="166"/>
      <c r="T65" s="166"/>
    </row>
    <row r="66" spans="1:20" outlineLevel="1">
      <c r="A66" s="3"/>
      <c r="B66" s="8" t="s">
        <v>58</v>
      </c>
      <c r="C66" s="13">
        <v>630</v>
      </c>
      <c r="D66" s="10">
        <f t="shared" si="19"/>
        <v>592.19999999999993</v>
      </c>
      <c r="E66" s="176">
        <v>0</v>
      </c>
      <c r="F66" s="13">
        <v>630</v>
      </c>
      <c r="G66" s="10">
        <f t="shared" si="20"/>
        <v>592.19999999999993</v>
      </c>
      <c r="H66" s="176">
        <v>0</v>
      </c>
      <c r="I66" s="13">
        <v>630</v>
      </c>
      <c r="J66" s="10">
        <f t="shared" si="21"/>
        <v>592.19999999999993</v>
      </c>
      <c r="K66" s="176">
        <v>0</v>
      </c>
      <c r="L66" s="13">
        <v>630</v>
      </c>
      <c r="M66" s="10">
        <f t="shared" si="22"/>
        <v>592.19999999999993</v>
      </c>
      <c r="N66" s="176">
        <v>0</v>
      </c>
      <c r="O66" s="13">
        <v>630</v>
      </c>
      <c r="P66" s="10">
        <f t="shared" si="23"/>
        <v>592.19999999999993</v>
      </c>
      <c r="Q66" s="168">
        <f t="shared" si="25"/>
        <v>0</v>
      </c>
      <c r="R66" s="167">
        <f t="shared" si="24"/>
        <v>0</v>
      </c>
    </row>
    <row r="67" spans="1:20" outlineLevel="1">
      <c r="A67" s="3"/>
      <c r="B67" s="9" t="s">
        <v>59</v>
      </c>
      <c r="C67" s="13">
        <v>1000</v>
      </c>
      <c r="D67" s="10">
        <f t="shared" si="19"/>
        <v>940</v>
      </c>
      <c r="E67" s="176">
        <v>0</v>
      </c>
      <c r="F67" s="13">
        <v>1000</v>
      </c>
      <c r="G67" s="10">
        <f t="shared" si="20"/>
        <v>940</v>
      </c>
      <c r="H67" s="176">
        <v>0</v>
      </c>
      <c r="I67" s="13">
        <v>1000</v>
      </c>
      <c r="J67" s="10">
        <f t="shared" si="21"/>
        <v>940</v>
      </c>
      <c r="K67" s="176">
        <v>0</v>
      </c>
      <c r="L67" s="13">
        <v>1000</v>
      </c>
      <c r="M67" s="10">
        <f t="shared" si="22"/>
        <v>940</v>
      </c>
      <c r="N67" s="176">
        <v>0</v>
      </c>
      <c r="O67" s="13">
        <v>1000</v>
      </c>
      <c r="P67" s="10">
        <f t="shared" si="23"/>
        <v>940</v>
      </c>
      <c r="Q67" s="168">
        <f t="shared" si="25"/>
        <v>0</v>
      </c>
      <c r="R67" s="167">
        <f t="shared" si="24"/>
        <v>0</v>
      </c>
    </row>
    <row r="68" spans="1:20" outlineLevel="1">
      <c r="A68" s="3"/>
      <c r="B68" s="9" t="s">
        <v>62</v>
      </c>
      <c r="C68" s="13">
        <v>160</v>
      </c>
      <c r="D68" s="10">
        <f t="shared" si="19"/>
        <v>150.39999999999998</v>
      </c>
      <c r="E68" s="176">
        <v>0</v>
      </c>
      <c r="F68" s="13">
        <v>160</v>
      </c>
      <c r="G68" s="10">
        <f t="shared" si="20"/>
        <v>150.39999999999998</v>
      </c>
      <c r="H68" s="176">
        <v>0</v>
      </c>
      <c r="I68" s="13">
        <v>160</v>
      </c>
      <c r="J68" s="10">
        <f t="shared" si="21"/>
        <v>150.39999999999998</v>
      </c>
      <c r="K68" s="176">
        <v>0</v>
      </c>
      <c r="L68" s="13">
        <v>160</v>
      </c>
      <c r="M68" s="10">
        <f t="shared" si="22"/>
        <v>150.39999999999998</v>
      </c>
      <c r="N68" s="176">
        <v>0</v>
      </c>
      <c r="O68" s="13">
        <v>160</v>
      </c>
      <c r="P68" s="10">
        <f t="shared" si="23"/>
        <v>150.39999999999998</v>
      </c>
      <c r="Q68" s="168">
        <f t="shared" si="25"/>
        <v>0</v>
      </c>
      <c r="R68" s="167">
        <f t="shared" si="24"/>
        <v>0</v>
      </c>
      <c r="S68" s="166"/>
      <c r="T68" s="166"/>
    </row>
    <row r="69" spans="1:20" outlineLevel="1">
      <c r="A69" s="3"/>
      <c r="B69" s="9" t="s">
        <v>63</v>
      </c>
      <c r="C69" s="13">
        <f>2*160</f>
        <v>320</v>
      </c>
      <c r="D69" s="10">
        <f t="shared" si="19"/>
        <v>300.79999999999995</v>
      </c>
      <c r="E69" s="176">
        <v>0</v>
      </c>
      <c r="F69" s="13">
        <f>2*160</f>
        <v>320</v>
      </c>
      <c r="G69" s="10">
        <f t="shared" si="20"/>
        <v>300.79999999999995</v>
      </c>
      <c r="H69" s="176">
        <v>0</v>
      </c>
      <c r="I69" s="13">
        <f>2*160</f>
        <v>320</v>
      </c>
      <c r="J69" s="10">
        <f t="shared" si="21"/>
        <v>300.79999999999995</v>
      </c>
      <c r="K69" s="176">
        <v>0</v>
      </c>
      <c r="L69" s="13">
        <f>2*160</f>
        <v>320</v>
      </c>
      <c r="M69" s="10">
        <f t="shared" si="22"/>
        <v>300.79999999999995</v>
      </c>
      <c r="N69" s="176">
        <v>0</v>
      </c>
      <c r="O69" s="13">
        <f>2*160</f>
        <v>320</v>
      </c>
      <c r="P69" s="10">
        <f t="shared" si="23"/>
        <v>300.79999999999995</v>
      </c>
      <c r="Q69" s="168">
        <f t="shared" si="25"/>
        <v>0</v>
      </c>
      <c r="R69" s="167">
        <f t="shared" si="24"/>
        <v>0</v>
      </c>
      <c r="S69" s="166"/>
      <c r="T69" s="166"/>
    </row>
    <row r="70" spans="1:20" outlineLevel="1">
      <c r="A70" s="3"/>
      <c r="B70" s="9" t="s">
        <v>78</v>
      </c>
      <c r="C70" s="13">
        <f>2*250</f>
        <v>500</v>
      </c>
      <c r="D70" s="14">
        <f t="shared" si="19"/>
        <v>470</v>
      </c>
      <c r="E70" s="176">
        <v>0</v>
      </c>
      <c r="F70" s="13">
        <f>2*250</f>
        <v>500</v>
      </c>
      <c r="G70" s="14">
        <f t="shared" si="20"/>
        <v>470</v>
      </c>
      <c r="H70" s="176">
        <v>0</v>
      </c>
      <c r="I70" s="13">
        <f>2*250</f>
        <v>500</v>
      </c>
      <c r="J70" s="14">
        <f t="shared" si="21"/>
        <v>470</v>
      </c>
      <c r="K70" s="176">
        <v>0</v>
      </c>
      <c r="L70" s="13">
        <f>2*250</f>
        <v>500</v>
      </c>
      <c r="M70" s="14">
        <f t="shared" si="22"/>
        <v>470</v>
      </c>
      <c r="N70" s="176">
        <v>0</v>
      </c>
      <c r="O70" s="13">
        <f>2*250</f>
        <v>500</v>
      </c>
      <c r="P70" s="14">
        <f t="shared" si="23"/>
        <v>470</v>
      </c>
      <c r="Q70" s="168">
        <f t="shared" si="25"/>
        <v>0</v>
      </c>
      <c r="R70" s="167">
        <f t="shared" si="24"/>
        <v>0</v>
      </c>
    </row>
    <row r="71" spans="1:20" outlineLevel="1">
      <c r="A71" s="3"/>
      <c r="B71" s="9" t="s">
        <v>79</v>
      </c>
      <c r="C71" s="13">
        <f>2*400</f>
        <v>800</v>
      </c>
      <c r="D71" s="14">
        <f t="shared" si="19"/>
        <v>752</v>
      </c>
      <c r="E71" s="176">
        <v>0</v>
      </c>
      <c r="F71" s="13">
        <f>2*400</f>
        <v>800</v>
      </c>
      <c r="G71" s="14">
        <f t="shared" si="20"/>
        <v>752</v>
      </c>
      <c r="H71" s="176">
        <v>0</v>
      </c>
      <c r="I71" s="13">
        <f>2*400</f>
        <v>800</v>
      </c>
      <c r="J71" s="14">
        <f t="shared" si="21"/>
        <v>752</v>
      </c>
      <c r="K71" s="176">
        <v>0</v>
      </c>
      <c r="L71" s="13">
        <f>2*400</f>
        <v>800</v>
      </c>
      <c r="M71" s="14">
        <f t="shared" si="22"/>
        <v>752</v>
      </c>
      <c r="N71" s="176">
        <v>0</v>
      </c>
      <c r="O71" s="13">
        <f>2*400</f>
        <v>800</v>
      </c>
      <c r="P71" s="14">
        <f t="shared" si="23"/>
        <v>752</v>
      </c>
      <c r="Q71" s="168">
        <f t="shared" si="25"/>
        <v>0</v>
      </c>
      <c r="R71" s="167">
        <f t="shared" si="24"/>
        <v>0</v>
      </c>
    </row>
    <row r="72" spans="1:20" outlineLevel="1">
      <c r="A72" s="3"/>
      <c r="B72" s="9" t="s">
        <v>80</v>
      </c>
      <c r="C72" s="13">
        <f>2*630</f>
        <v>1260</v>
      </c>
      <c r="D72" s="14">
        <f t="shared" si="19"/>
        <v>1184.3999999999999</v>
      </c>
      <c r="E72" s="176">
        <v>0</v>
      </c>
      <c r="F72" s="13">
        <f>2*630</f>
        <v>1260</v>
      </c>
      <c r="G72" s="14">
        <f t="shared" si="20"/>
        <v>1184.3999999999999</v>
      </c>
      <c r="H72" s="176">
        <v>0</v>
      </c>
      <c r="I72" s="13">
        <f>2*630</f>
        <v>1260</v>
      </c>
      <c r="J72" s="14">
        <f t="shared" si="21"/>
        <v>1184.3999999999999</v>
      </c>
      <c r="K72" s="176">
        <v>0</v>
      </c>
      <c r="L72" s="13">
        <f>2*630</f>
        <v>1260</v>
      </c>
      <c r="M72" s="14">
        <f t="shared" si="22"/>
        <v>1184.3999999999999</v>
      </c>
      <c r="N72" s="176">
        <v>0</v>
      </c>
      <c r="O72" s="13">
        <f>2*630</f>
        <v>1260</v>
      </c>
      <c r="P72" s="14">
        <f t="shared" si="23"/>
        <v>1184.3999999999999</v>
      </c>
      <c r="Q72" s="168">
        <f t="shared" si="25"/>
        <v>0</v>
      </c>
      <c r="R72" s="167">
        <f t="shared" si="24"/>
        <v>0</v>
      </c>
    </row>
    <row r="73" spans="1:20" outlineLevel="1">
      <c r="A73" s="3"/>
      <c r="B73" s="9" t="s">
        <v>81</v>
      </c>
      <c r="C73" s="13">
        <f>2*1000</f>
        <v>2000</v>
      </c>
      <c r="D73" s="14">
        <f t="shared" si="19"/>
        <v>1880</v>
      </c>
      <c r="E73" s="176">
        <v>0</v>
      </c>
      <c r="F73" s="13">
        <f>2*1000</f>
        <v>2000</v>
      </c>
      <c r="G73" s="14">
        <f t="shared" si="20"/>
        <v>1880</v>
      </c>
      <c r="H73" s="176">
        <v>0</v>
      </c>
      <c r="I73" s="13">
        <f>2*1000</f>
        <v>2000</v>
      </c>
      <c r="J73" s="14">
        <f t="shared" si="21"/>
        <v>1880</v>
      </c>
      <c r="K73" s="176">
        <v>0</v>
      </c>
      <c r="L73" s="13">
        <f>2*1000</f>
        <v>2000</v>
      </c>
      <c r="M73" s="14">
        <f t="shared" si="22"/>
        <v>1880</v>
      </c>
      <c r="N73" s="176">
        <v>0</v>
      </c>
      <c r="O73" s="194">
        <f>2*1000</f>
        <v>2000</v>
      </c>
      <c r="P73" s="195">
        <f t="shared" si="23"/>
        <v>1880</v>
      </c>
      <c r="Q73" s="168">
        <f t="shared" si="25"/>
        <v>0</v>
      </c>
      <c r="R73" s="196">
        <f t="shared" si="24"/>
        <v>0</v>
      </c>
    </row>
    <row r="75" spans="1:20">
      <c r="B75" s="241" t="s">
        <v>6</v>
      </c>
      <c r="C75" s="238" t="s">
        <v>7</v>
      </c>
      <c r="D75" s="191"/>
      <c r="E75" s="243"/>
    </row>
    <row r="76" spans="1:20" ht="15">
      <c r="B76" s="237"/>
      <c r="C76" s="238" t="s">
        <v>8</v>
      </c>
      <c r="E76" s="242" t="s">
        <v>243</v>
      </c>
    </row>
  </sheetData>
  <mergeCells count="12">
    <mergeCell ref="O8:R8"/>
    <mergeCell ref="O4:R4"/>
    <mergeCell ref="I5:J5"/>
    <mergeCell ref="O5:P5"/>
    <mergeCell ref="B4:B6"/>
    <mergeCell ref="I4:K4"/>
    <mergeCell ref="C4:E4"/>
    <mergeCell ref="C5:D5"/>
    <mergeCell ref="F4:H4"/>
    <mergeCell ref="F5:G5"/>
    <mergeCell ref="L4:N4"/>
    <mergeCell ref="L5:M5"/>
  </mergeCells>
  <pageMargins left="0.7" right="0.7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B2:M164"/>
  <sheetViews>
    <sheetView view="pageBreakPreview" zoomScale="80" zoomScaleNormal="80" zoomScaleSheetLayoutView="80" workbookViewId="0">
      <selection activeCell="C13" sqref="C13:C18"/>
    </sheetView>
  </sheetViews>
  <sheetFormatPr defaultRowHeight="12" outlineLevelRow="1"/>
  <cols>
    <col min="1" max="1" width="4.85546875" style="73" customWidth="1"/>
    <col min="2" max="2" width="6.85546875" style="73" customWidth="1"/>
    <col min="3" max="3" width="41.5703125" style="74" customWidth="1"/>
    <col min="4" max="7" width="13.7109375" style="74" customWidth="1"/>
    <col min="8" max="9" width="13.7109375" style="73" customWidth="1"/>
    <col min="10" max="11" width="13.85546875" style="73" customWidth="1"/>
    <col min="12" max="13" width="13.85546875" style="187" customWidth="1"/>
    <col min="14" max="16384" width="9.140625" style="73"/>
  </cols>
  <sheetData>
    <row r="2" spans="2:13" ht="20.25">
      <c r="C2" s="179" t="s">
        <v>184</v>
      </c>
      <c r="D2" s="75"/>
      <c r="E2" s="75"/>
      <c r="J2" s="268"/>
      <c r="K2" s="269"/>
      <c r="L2" s="186"/>
      <c r="M2" s="186"/>
    </row>
    <row r="3" spans="2:13">
      <c r="J3" s="76"/>
      <c r="K3" s="77"/>
      <c r="L3" s="186"/>
      <c r="M3" s="186"/>
    </row>
    <row r="4" spans="2:13">
      <c r="C4" s="270" t="s">
        <v>82</v>
      </c>
      <c r="D4" s="270"/>
      <c r="E4" s="270"/>
      <c r="F4" s="270"/>
      <c r="G4" s="270"/>
      <c r="H4" s="270"/>
      <c r="I4" s="270"/>
      <c r="J4" s="270"/>
      <c r="K4" s="270"/>
    </row>
    <row r="6" spans="2:13" ht="25.5" customHeight="1">
      <c r="B6" s="271" t="s">
        <v>90</v>
      </c>
      <c r="C6" s="271" t="s">
        <v>83</v>
      </c>
      <c r="D6" s="271" t="s">
        <v>87</v>
      </c>
      <c r="E6" s="271"/>
      <c r="F6" s="272">
        <v>2015</v>
      </c>
      <c r="G6" s="272"/>
      <c r="H6" s="272">
        <v>2016</v>
      </c>
      <c r="I6" s="272"/>
      <c r="J6" s="272" t="s">
        <v>216</v>
      </c>
      <c r="K6" s="272"/>
      <c r="L6" s="272" t="s">
        <v>228</v>
      </c>
      <c r="M6" s="272"/>
    </row>
    <row r="7" spans="2:13" ht="44.25" customHeight="1">
      <c r="B7" s="271"/>
      <c r="C7" s="271"/>
      <c r="D7" s="185" t="s">
        <v>89</v>
      </c>
      <c r="E7" s="185" t="s">
        <v>85</v>
      </c>
      <c r="F7" s="185" t="s">
        <v>89</v>
      </c>
      <c r="G7" s="185" t="s">
        <v>85</v>
      </c>
      <c r="H7" s="185" t="s">
        <v>89</v>
      </c>
      <c r="I7" s="185" t="s">
        <v>85</v>
      </c>
      <c r="J7" s="185" t="s">
        <v>89</v>
      </c>
      <c r="K7" s="185" t="s">
        <v>85</v>
      </c>
      <c r="L7" s="185" t="s">
        <v>89</v>
      </c>
      <c r="M7" s="185" t="s">
        <v>85</v>
      </c>
    </row>
    <row r="8" spans="2:13" ht="15" customHeight="1">
      <c r="B8" s="261" t="s">
        <v>86</v>
      </c>
      <c r="C8" s="262"/>
      <c r="D8" s="262"/>
      <c r="E8" s="262"/>
      <c r="F8" s="262"/>
      <c r="G8" s="262"/>
      <c r="H8" s="262"/>
      <c r="I8" s="262"/>
      <c r="J8" s="262"/>
      <c r="K8" s="262"/>
      <c r="L8" s="263"/>
      <c r="M8" s="264"/>
    </row>
    <row r="9" spans="2:13" ht="15" customHeight="1" outlineLevel="1">
      <c r="B9" s="82">
        <v>1</v>
      </c>
      <c r="C9" s="83" t="s">
        <v>88</v>
      </c>
      <c r="D9" s="84" t="e">
        <f>AVERAGE(F9,H9,J9)</f>
        <v>#DIV/0!</v>
      </c>
      <c r="E9" s="84" t="e">
        <f>ROUND(AVERAGE(G9,I9,K9),0)</f>
        <v>#DIV/0!</v>
      </c>
      <c r="F9" s="78"/>
      <c r="G9" s="78"/>
      <c r="H9" s="78"/>
      <c r="I9" s="78"/>
      <c r="J9" s="78"/>
      <c r="K9" s="78"/>
      <c r="L9" s="210"/>
      <c r="M9" s="210"/>
    </row>
    <row r="10" spans="2:13" ht="12" customHeight="1" outlineLevel="1">
      <c r="B10" s="82" t="s">
        <v>5</v>
      </c>
      <c r="C10" s="83" t="s">
        <v>84</v>
      </c>
      <c r="D10" s="160"/>
      <c r="E10" s="160"/>
      <c r="F10" s="159"/>
      <c r="G10" s="159"/>
      <c r="H10" s="159"/>
      <c r="I10" s="159"/>
      <c r="J10" s="159"/>
      <c r="K10" s="159"/>
      <c r="L10" s="210"/>
      <c r="M10" s="210"/>
    </row>
    <row r="11" spans="2:13" ht="12" customHeight="1" outlineLevel="1">
      <c r="B11" s="267" t="s">
        <v>43</v>
      </c>
      <c r="C11" s="267"/>
      <c r="D11" s="205"/>
      <c r="E11" s="205"/>
      <c r="F11" s="80"/>
      <c r="G11" s="81"/>
      <c r="H11" s="80"/>
      <c r="I11" s="81"/>
      <c r="J11" s="80"/>
      <c r="K11" s="81"/>
      <c r="L11" s="211"/>
      <c r="M11" s="211"/>
    </row>
    <row r="12" spans="2:13" ht="15" customHeight="1" outlineLevel="1">
      <c r="B12" s="184" t="s">
        <v>27</v>
      </c>
      <c r="C12" s="39" t="s">
        <v>28</v>
      </c>
      <c r="D12" s="84">
        <f>ROUND(AVERAGE(F12,H12,J12),3)</f>
        <v>0</v>
      </c>
      <c r="E12" s="84">
        <f>ROUND(AVERAGE(G12,I12,K12),3)</f>
        <v>0</v>
      </c>
      <c r="F12" s="180">
        <f>SUM(F13:F18)</f>
        <v>0</v>
      </c>
      <c r="G12" s="180">
        <f t="shared" ref="G12:K12" si="0">SUM(G13:G18)</f>
        <v>0</v>
      </c>
      <c r="H12" s="180">
        <f t="shared" si="0"/>
        <v>0</v>
      </c>
      <c r="I12" s="180">
        <f t="shared" si="0"/>
        <v>0</v>
      </c>
      <c r="J12" s="180">
        <f t="shared" si="0"/>
        <v>0</v>
      </c>
      <c r="K12" s="180">
        <f t="shared" si="0"/>
        <v>0</v>
      </c>
      <c r="L12" s="212"/>
      <c r="M12" s="212"/>
    </row>
    <row r="13" spans="2:13" ht="15" customHeight="1" outlineLevel="1">
      <c r="B13" s="184"/>
      <c r="C13" s="39" t="s">
        <v>190</v>
      </c>
      <c r="D13" s="84" t="e">
        <f>ROUND(AVERAGE(F13,H13,J13),3)</f>
        <v>#DIV/0!</v>
      </c>
      <c r="E13" s="84" t="e">
        <f>ROUND(AVERAGE(G13,I13,K13),3)</f>
        <v>#DIV/0!</v>
      </c>
      <c r="F13" s="181"/>
      <c r="G13" s="79"/>
      <c r="H13" s="78"/>
      <c r="I13" s="79"/>
      <c r="J13" s="78"/>
      <c r="K13" s="78"/>
      <c r="L13" s="210"/>
      <c r="M13" s="211"/>
    </row>
    <row r="14" spans="2:13" ht="12" customHeight="1" outlineLevel="1">
      <c r="B14" s="184"/>
      <c r="C14" s="39" t="s">
        <v>191</v>
      </c>
      <c r="D14" s="84" t="e">
        <f t="shared" ref="D14:D17" si="1">ROUND(AVERAGE(F14,H14,J14),3)</f>
        <v>#DIV/0!</v>
      </c>
      <c r="E14" s="84" t="e">
        <f t="shared" ref="E14:E17" si="2">ROUND(AVERAGE(G14,I14,K14),3)</f>
        <v>#DIV/0!</v>
      </c>
      <c r="F14" s="181"/>
      <c r="G14" s="79"/>
      <c r="H14" s="78"/>
      <c r="I14" s="79"/>
      <c r="J14" s="78"/>
      <c r="K14" s="78"/>
      <c r="L14" s="210"/>
      <c r="M14" s="211"/>
    </row>
    <row r="15" spans="2:13" outlineLevel="1">
      <c r="B15" s="184"/>
      <c r="C15" s="39" t="s">
        <v>192</v>
      </c>
      <c r="D15" s="84" t="e">
        <f t="shared" si="1"/>
        <v>#DIV/0!</v>
      </c>
      <c r="E15" s="84" t="e">
        <f t="shared" si="2"/>
        <v>#DIV/0!</v>
      </c>
      <c r="F15" s="181"/>
      <c r="G15" s="79"/>
      <c r="H15" s="78"/>
      <c r="I15" s="79"/>
      <c r="J15" s="78"/>
      <c r="K15" s="78"/>
      <c r="L15" s="210"/>
      <c r="M15" s="211"/>
    </row>
    <row r="16" spans="2:13" ht="15" customHeight="1" outlineLevel="1">
      <c r="B16" s="184"/>
      <c r="C16" s="39" t="s">
        <v>193</v>
      </c>
      <c r="D16" s="84" t="e">
        <f t="shared" si="1"/>
        <v>#DIV/0!</v>
      </c>
      <c r="E16" s="84" t="e">
        <f>ROUND(AVERAGE(G16,I16,K16),3)</f>
        <v>#DIV/0!</v>
      </c>
      <c r="F16" s="181"/>
      <c r="G16" s="79"/>
      <c r="H16" s="78"/>
      <c r="I16" s="79"/>
      <c r="J16" s="78"/>
      <c r="K16" s="78"/>
      <c r="L16" s="210"/>
      <c r="M16" s="211"/>
    </row>
    <row r="17" spans="2:13" ht="15" customHeight="1" outlineLevel="1">
      <c r="B17" s="184"/>
      <c r="C17" s="39" t="s">
        <v>194</v>
      </c>
      <c r="D17" s="84" t="e">
        <f t="shared" si="1"/>
        <v>#DIV/0!</v>
      </c>
      <c r="E17" s="84" t="e">
        <f t="shared" si="2"/>
        <v>#DIV/0!</v>
      </c>
      <c r="F17" s="181"/>
      <c r="G17" s="79"/>
      <c r="H17" s="78"/>
      <c r="I17" s="79"/>
      <c r="J17" s="78"/>
      <c r="K17" s="78"/>
      <c r="L17" s="210"/>
      <c r="M17" s="211"/>
    </row>
    <row r="18" spans="2:13" ht="12" customHeight="1" outlineLevel="1">
      <c r="B18" s="184"/>
      <c r="C18" s="39" t="s">
        <v>195</v>
      </c>
      <c r="D18" s="84" t="e">
        <f>ROUND(AVERAGE(F18,H18,J18),0)</f>
        <v>#DIV/0!</v>
      </c>
      <c r="E18" s="84" t="e">
        <f>ROUND(AVERAGE(G18,I18,K18),0)</f>
        <v>#DIV/0!</v>
      </c>
      <c r="F18" s="181"/>
      <c r="G18" s="79"/>
      <c r="H18" s="78"/>
      <c r="I18" s="79"/>
      <c r="J18" s="78"/>
      <c r="K18" s="78"/>
      <c r="L18" s="210"/>
      <c r="M18" s="211"/>
    </row>
    <row r="19" spans="2:13" ht="17.25" customHeight="1" outlineLevel="1">
      <c r="B19" s="184" t="s">
        <v>29</v>
      </c>
      <c r="C19" s="39" t="s">
        <v>30</v>
      </c>
      <c r="D19" s="84">
        <f>ROUND(AVERAGE(F19,H19,J19),3)</f>
        <v>0</v>
      </c>
      <c r="E19" s="84">
        <f>ROUND(AVERAGE(G19,I19,K19),3)</f>
        <v>0</v>
      </c>
      <c r="F19" s="180">
        <f>SUM(F20:F27)</f>
        <v>0</v>
      </c>
      <c r="G19" s="180">
        <f t="shared" ref="G19:K19" si="3">SUM(G20:G27)</f>
        <v>0</v>
      </c>
      <c r="H19" s="180">
        <f t="shared" si="3"/>
        <v>0</v>
      </c>
      <c r="I19" s="180">
        <f t="shared" si="3"/>
        <v>0</v>
      </c>
      <c r="J19" s="180">
        <f t="shared" si="3"/>
        <v>0</v>
      </c>
      <c r="K19" s="180">
        <f t="shared" si="3"/>
        <v>0</v>
      </c>
      <c r="L19" s="212"/>
      <c r="M19" s="212"/>
    </row>
    <row r="20" spans="2:13" ht="15" customHeight="1" outlineLevel="1">
      <c r="B20" s="184"/>
      <c r="C20" s="39" t="s">
        <v>196</v>
      </c>
      <c r="D20" s="84" t="e">
        <f>ROUND(AVERAGE(F20,H20,J20),3)</f>
        <v>#DIV/0!</v>
      </c>
      <c r="E20" s="84" t="e">
        <f>ROUND(AVERAGE(G20,I20,K20),3)</f>
        <v>#DIV/0!</v>
      </c>
      <c r="F20" s="181"/>
      <c r="G20" s="79"/>
      <c r="H20" s="78"/>
      <c r="I20" s="79"/>
      <c r="J20" s="78"/>
      <c r="K20" s="78"/>
      <c r="L20" s="210"/>
      <c r="M20" s="211"/>
    </row>
    <row r="21" spans="2:13" ht="14.25" customHeight="1" outlineLevel="1">
      <c r="B21" s="184"/>
      <c r="C21" s="39" t="s">
        <v>197</v>
      </c>
      <c r="D21" s="84" t="e">
        <f t="shared" ref="D21:D24" si="4">ROUND(AVERAGE(F21,H21,J21),3)</f>
        <v>#DIV/0!</v>
      </c>
      <c r="E21" s="84" t="e">
        <f t="shared" ref="E21:E22" si="5">ROUND(AVERAGE(G21,I21,K21),3)</f>
        <v>#DIV/0!</v>
      </c>
      <c r="F21" s="181"/>
      <c r="G21" s="79"/>
      <c r="H21" s="78"/>
      <c r="I21" s="79"/>
      <c r="J21" s="78"/>
      <c r="K21" s="78"/>
      <c r="L21" s="210"/>
      <c r="M21" s="211"/>
    </row>
    <row r="22" spans="2:13" ht="14.25" customHeight="1" outlineLevel="1">
      <c r="B22" s="184"/>
      <c r="C22" s="39" t="s">
        <v>198</v>
      </c>
      <c r="D22" s="84" t="e">
        <f t="shared" si="4"/>
        <v>#DIV/0!</v>
      </c>
      <c r="E22" s="84" t="e">
        <f t="shared" si="5"/>
        <v>#DIV/0!</v>
      </c>
      <c r="F22" s="181"/>
      <c r="G22" s="79"/>
      <c r="H22" s="78"/>
      <c r="I22" s="79"/>
      <c r="J22" s="78"/>
      <c r="K22" s="78"/>
      <c r="L22" s="210"/>
      <c r="M22" s="211"/>
    </row>
    <row r="23" spans="2:13" ht="14.25" customHeight="1" outlineLevel="1">
      <c r="B23" s="184"/>
      <c r="C23" s="39" t="s">
        <v>199</v>
      </c>
      <c r="D23" s="84" t="e">
        <f t="shared" si="4"/>
        <v>#DIV/0!</v>
      </c>
      <c r="E23" s="84" t="e">
        <f>ROUND(AVERAGE(G23,I23,K23),3)</f>
        <v>#DIV/0!</v>
      </c>
      <c r="F23" s="181"/>
      <c r="G23" s="79"/>
      <c r="H23" s="78"/>
      <c r="I23" s="79"/>
      <c r="J23" s="78"/>
      <c r="K23" s="78"/>
      <c r="L23" s="210"/>
      <c r="M23" s="211"/>
    </row>
    <row r="24" spans="2:13" ht="14.25" customHeight="1" outlineLevel="1">
      <c r="B24" s="184"/>
      <c r="C24" s="39" t="s">
        <v>200</v>
      </c>
      <c r="D24" s="84" t="e">
        <f t="shared" si="4"/>
        <v>#DIV/0!</v>
      </c>
      <c r="E24" s="84" t="e">
        <f>ROUND(AVERAGE(G24,I24,K24),3)</f>
        <v>#DIV/0!</v>
      </c>
      <c r="F24" s="181"/>
      <c r="G24" s="79"/>
      <c r="H24" s="78"/>
      <c r="I24" s="79"/>
      <c r="J24" s="78"/>
      <c r="K24" s="78"/>
      <c r="L24" s="210"/>
      <c r="M24" s="211"/>
    </row>
    <row r="25" spans="2:13" ht="14.25" customHeight="1" outlineLevel="1">
      <c r="B25" s="184"/>
      <c r="C25" s="39" t="s">
        <v>201</v>
      </c>
      <c r="D25" s="84" t="e">
        <f>ROUND(AVERAGE(F25,H25,J25),0)</f>
        <v>#DIV/0!</v>
      </c>
      <c r="E25" s="84" t="e">
        <f>ROUND(AVERAGE(G25,I25,K25),0)</f>
        <v>#DIV/0!</v>
      </c>
      <c r="F25" s="181"/>
      <c r="G25" s="79"/>
      <c r="H25" s="78"/>
      <c r="I25" s="79"/>
      <c r="J25" s="78"/>
      <c r="K25" s="78"/>
      <c r="L25" s="210"/>
      <c r="M25" s="211"/>
    </row>
    <row r="26" spans="2:13" ht="14.25" customHeight="1" outlineLevel="1">
      <c r="B26" s="184"/>
      <c r="C26" s="39" t="s">
        <v>202</v>
      </c>
      <c r="D26" s="84" t="e">
        <f t="shared" ref="D26:D27" si="6">ROUND(AVERAGE(F26,H26,J26),0)</f>
        <v>#DIV/0!</v>
      </c>
      <c r="E26" s="84" t="e">
        <f t="shared" ref="E26:E27" si="7">ROUND(AVERAGE(G26,I26,K26),0)</f>
        <v>#DIV/0!</v>
      </c>
      <c r="F26" s="181"/>
      <c r="G26" s="79"/>
      <c r="H26" s="78"/>
      <c r="I26" s="79"/>
      <c r="J26" s="78"/>
      <c r="K26" s="78"/>
      <c r="L26" s="210"/>
      <c r="M26" s="211"/>
    </row>
    <row r="27" spans="2:13" customFormat="1" ht="15.75" customHeight="1" outlineLevel="1">
      <c r="B27" s="184"/>
      <c r="C27" s="39" t="s">
        <v>203</v>
      </c>
      <c r="D27" s="84" t="e">
        <f t="shared" si="6"/>
        <v>#DIV/0!</v>
      </c>
      <c r="E27" s="84" t="e">
        <f t="shared" si="7"/>
        <v>#DIV/0!</v>
      </c>
      <c r="F27" s="181"/>
      <c r="G27" s="79"/>
      <c r="H27" s="78"/>
      <c r="I27" s="79"/>
      <c r="J27" s="78"/>
      <c r="K27" s="78"/>
      <c r="L27" s="210"/>
      <c r="M27" s="211"/>
    </row>
    <row r="28" spans="2:13" customFormat="1" ht="15" customHeight="1" outlineLevel="1">
      <c r="B28" s="184" t="s">
        <v>31</v>
      </c>
      <c r="C28" s="39" t="s">
        <v>44</v>
      </c>
      <c r="D28" s="84">
        <f t="shared" ref="D28:E30" si="8">ROUND(AVERAGE(F28,H28,J28),3)</f>
        <v>0</v>
      </c>
      <c r="E28" s="84">
        <f t="shared" si="8"/>
        <v>0</v>
      </c>
      <c r="F28" s="180">
        <f>SUM(F29:F30)</f>
        <v>0</v>
      </c>
      <c r="G28" s="180">
        <f t="shared" ref="G28:K28" si="9">SUM(G29:G30)</f>
        <v>0</v>
      </c>
      <c r="H28" s="180">
        <f t="shared" si="9"/>
        <v>0</v>
      </c>
      <c r="I28" s="180">
        <f t="shared" si="9"/>
        <v>0</v>
      </c>
      <c r="J28" s="180">
        <f t="shared" si="9"/>
        <v>0</v>
      </c>
      <c r="K28" s="180">
        <f t="shared" si="9"/>
        <v>0</v>
      </c>
      <c r="L28" s="212"/>
      <c r="M28" s="212"/>
    </row>
    <row r="29" spans="2:13" outlineLevel="1">
      <c r="B29" s="184"/>
      <c r="C29" s="39" t="s">
        <v>204</v>
      </c>
      <c r="D29" s="84" t="e">
        <f t="shared" si="8"/>
        <v>#DIV/0!</v>
      </c>
      <c r="E29" s="84" t="e">
        <f t="shared" si="8"/>
        <v>#DIV/0!</v>
      </c>
      <c r="F29" s="78"/>
      <c r="G29" s="79"/>
      <c r="H29" s="78"/>
      <c r="I29" s="79"/>
      <c r="J29" s="79"/>
      <c r="K29" s="79"/>
      <c r="L29" s="211"/>
      <c r="M29" s="211"/>
    </row>
    <row r="30" spans="2:13" outlineLevel="1">
      <c r="B30" s="184"/>
      <c r="C30" s="39" t="s">
        <v>205</v>
      </c>
      <c r="D30" s="84" t="e">
        <f t="shared" si="8"/>
        <v>#DIV/0!</v>
      </c>
      <c r="E30" s="84" t="e">
        <f t="shared" si="8"/>
        <v>#DIV/0!</v>
      </c>
      <c r="F30" s="78"/>
      <c r="G30" s="79"/>
      <c r="H30" s="78"/>
      <c r="I30" s="79"/>
      <c r="J30" s="79"/>
      <c r="K30" s="79"/>
      <c r="L30" s="211"/>
      <c r="M30" s="211"/>
    </row>
    <row r="31" spans="2:13" ht="48" outlineLevel="1">
      <c r="B31" s="184" t="s">
        <v>32</v>
      </c>
      <c r="C31" s="39" t="s">
        <v>33</v>
      </c>
      <c r="D31" s="170"/>
      <c r="E31" s="170"/>
      <c r="F31" s="80"/>
      <c r="G31" s="81"/>
      <c r="H31" s="80"/>
      <c r="I31" s="81"/>
      <c r="J31" s="80"/>
      <c r="K31" s="81"/>
      <c r="L31" s="211"/>
      <c r="M31" s="211"/>
    </row>
    <row r="32" spans="2:13" outlineLevel="1">
      <c r="B32" s="184"/>
      <c r="C32" s="39" t="s">
        <v>55</v>
      </c>
      <c r="D32" s="84">
        <f>'Факт ПС за 3 года'!Q10</f>
        <v>0</v>
      </c>
      <c r="E32" s="84">
        <f>'Факт ПС за 3 года'!R10</f>
        <v>0</v>
      </c>
      <c r="F32" s="80"/>
      <c r="G32" s="80"/>
      <c r="H32" s="80"/>
      <c r="I32" s="80"/>
      <c r="J32" s="80"/>
      <c r="K32" s="80"/>
      <c r="L32" s="210"/>
      <c r="M32" s="210"/>
    </row>
    <row r="33" spans="2:13" outlineLevel="1">
      <c r="B33" s="184"/>
      <c r="C33" s="39" t="s">
        <v>206</v>
      </c>
      <c r="D33" s="84">
        <f>'Факт ПС за 3 года'!Q11</f>
        <v>0</v>
      </c>
      <c r="E33" s="84">
        <f>'Факт ПС за 3 года'!R11</f>
        <v>0</v>
      </c>
      <c r="F33" s="80"/>
      <c r="G33" s="81"/>
      <c r="H33" s="80"/>
      <c r="I33" s="81"/>
      <c r="J33" s="80"/>
      <c r="K33" s="81"/>
      <c r="L33" s="211"/>
      <c r="M33" s="211"/>
    </row>
    <row r="34" spans="2:13" outlineLevel="1">
      <c r="B34" s="184"/>
      <c r="C34" s="39" t="s">
        <v>54</v>
      </c>
      <c r="D34" s="84">
        <f>'Факт ПС за 3 года'!Q12</f>
        <v>0</v>
      </c>
      <c r="E34" s="84">
        <f>'Факт ПС за 3 года'!R12</f>
        <v>0</v>
      </c>
      <c r="F34" s="80"/>
      <c r="G34" s="81"/>
      <c r="H34" s="80"/>
      <c r="I34" s="81"/>
      <c r="J34" s="80"/>
      <c r="K34" s="81"/>
      <c r="L34" s="211"/>
      <c r="M34" s="211"/>
    </row>
    <row r="35" spans="2:13" outlineLevel="1">
      <c r="B35" s="184"/>
      <c r="C35" s="39" t="s">
        <v>45</v>
      </c>
      <c r="D35" s="84">
        <f>'Факт ПС за 3 года'!Q13</f>
        <v>0</v>
      </c>
      <c r="E35" s="84">
        <f>'Факт ПС за 3 года'!R13</f>
        <v>0</v>
      </c>
      <c r="F35" s="80"/>
      <c r="G35" s="81"/>
      <c r="H35" s="80"/>
      <c r="I35" s="81"/>
      <c r="J35" s="80"/>
      <c r="K35" s="81"/>
      <c r="L35" s="211"/>
      <c r="M35" s="211"/>
    </row>
    <row r="36" spans="2:13" ht="11.25" customHeight="1" outlineLevel="1">
      <c r="B36" s="184"/>
      <c r="C36" s="39" t="s">
        <v>46</v>
      </c>
      <c r="D36" s="84">
        <f>'Факт ПС за 3 года'!Q14</f>
        <v>0</v>
      </c>
      <c r="E36" s="84">
        <f>'Факт ПС за 3 года'!R14</f>
        <v>0</v>
      </c>
      <c r="F36" s="80"/>
      <c r="G36" s="80"/>
      <c r="H36" s="80"/>
      <c r="I36" s="80"/>
      <c r="J36" s="80"/>
      <c r="K36" s="80"/>
      <c r="L36" s="210"/>
      <c r="M36" s="210"/>
    </row>
    <row r="37" spans="2:13" outlineLevel="1">
      <c r="B37" s="184"/>
      <c r="C37" s="39" t="s">
        <v>47</v>
      </c>
      <c r="D37" s="84">
        <f>'Факт ПС за 3 года'!Q15</f>
        <v>0</v>
      </c>
      <c r="E37" s="84">
        <f>'Факт ПС за 3 года'!R15</f>
        <v>0</v>
      </c>
      <c r="F37" s="159"/>
      <c r="G37" s="163"/>
      <c r="H37" s="159"/>
      <c r="I37" s="163"/>
      <c r="J37" s="159"/>
      <c r="K37" s="163"/>
      <c r="L37" s="211"/>
      <c r="M37" s="211"/>
    </row>
    <row r="38" spans="2:13" outlineLevel="1">
      <c r="B38" s="184"/>
      <c r="C38" s="39" t="s">
        <v>207</v>
      </c>
      <c r="D38" s="84">
        <f>'Факт ПС за 3 года'!Q16</f>
        <v>0</v>
      </c>
      <c r="E38" s="84">
        <f>'Факт ПС за 3 года'!R16</f>
        <v>0</v>
      </c>
      <c r="F38" s="159"/>
      <c r="G38" s="163"/>
      <c r="H38" s="159"/>
      <c r="I38" s="163"/>
      <c r="J38" s="159"/>
      <c r="K38" s="163"/>
      <c r="L38" s="211"/>
      <c r="M38" s="211"/>
    </row>
    <row r="39" spans="2:13" outlineLevel="1">
      <c r="B39" s="184"/>
      <c r="C39" s="39" t="s">
        <v>208</v>
      </c>
      <c r="D39" s="84">
        <f>'Факт ПС за 3 года'!Q17</f>
        <v>0</v>
      </c>
      <c r="E39" s="84">
        <f>'Факт ПС за 3 года'!R17</f>
        <v>0</v>
      </c>
      <c r="F39" s="159"/>
      <c r="G39" s="163"/>
      <c r="H39" s="159"/>
      <c r="I39" s="163"/>
      <c r="J39" s="159"/>
      <c r="K39" s="163"/>
      <c r="L39" s="211"/>
      <c r="M39" s="211"/>
    </row>
    <row r="40" spans="2:13" outlineLevel="1">
      <c r="B40" s="184"/>
      <c r="C40" s="39" t="s">
        <v>59</v>
      </c>
      <c r="D40" s="84">
        <f>'Факт ПС за 3 года'!Q18</f>
        <v>0</v>
      </c>
      <c r="E40" s="84">
        <f>'Факт ПС за 3 года'!R18</f>
        <v>0</v>
      </c>
      <c r="F40" s="159"/>
      <c r="G40" s="163"/>
      <c r="H40" s="159"/>
      <c r="I40" s="163"/>
      <c r="J40" s="159"/>
      <c r="K40" s="163"/>
      <c r="L40" s="211"/>
      <c r="M40" s="211"/>
    </row>
    <row r="41" spans="2:13" outlineLevel="1">
      <c r="B41" s="184"/>
      <c r="C41" s="39" t="s">
        <v>60</v>
      </c>
      <c r="D41" s="84">
        <f>'Факт ПС за 3 года'!Q19</f>
        <v>0</v>
      </c>
      <c r="E41" s="84">
        <f>'Факт ПС за 3 года'!R19</f>
        <v>0</v>
      </c>
      <c r="F41" s="159"/>
      <c r="G41" s="163"/>
      <c r="H41" s="159"/>
      <c r="I41" s="163"/>
      <c r="J41" s="159"/>
      <c r="K41" s="163"/>
      <c r="L41" s="211"/>
      <c r="M41" s="211"/>
    </row>
    <row r="42" spans="2:13" outlineLevel="1">
      <c r="B42" s="184"/>
      <c r="C42" s="39" t="s">
        <v>61</v>
      </c>
      <c r="D42" s="84">
        <f>'Факт ПС за 3 года'!Q20</f>
        <v>0</v>
      </c>
      <c r="E42" s="84">
        <f>'Факт ПС за 3 года'!R20</f>
        <v>0</v>
      </c>
      <c r="F42" s="80"/>
      <c r="G42" s="81"/>
      <c r="H42" s="80"/>
      <c r="I42" s="81"/>
      <c r="J42" s="80"/>
      <c r="K42" s="81"/>
      <c r="L42" s="211"/>
      <c r="M42" s="211"/>
    </row>
    <row r="43" spans="2:13" outlineLevel="1">
      <c r="B43" s="184"/>
      <c r="C43" s="39" t="s">
        <v>209</v>
      </c>
      <c r="D43" s="84">
        <f>'Факт ПС за 3 года'!Q21</f>
        <v>0</v>
      </c>
      <c r="E43" s="84">
        <f>'Факт ПС за 3 года'!R21</f>
        <v>0</v>
      </c>
      <c r="F43" s="80"/>
      <c r="G43" s="81"/>
      <c r="H43" s="80"/>
      <c r="I43" s="81"/>
      <c r="J43" s="80"/>
      <c r="K43" s="81"/>
      <c r="L43" s="211"/>
      <c r="M43" s="211"/>
    </row>
    <row r="44" spans="2:13" ht="14.25" customHeight="1" outlineLevel="1">
      <c r="B44" s="184"/>
      <c r="C44" s="39" t="s">
        <v>210</v>
      </c>
      <c r="D44" s="84">
        <f>'Факт ПС за 3 года'!Q22</f>
        <v>0</v>
      </c>
      <c r="E44" s="84">
        <f>'Факт ПС за 3 года'!R22</f>
        <v>0</v>
      </c>
      <c r="F44" s="80"/>
      <c r="G44" s="81"/>
      <c r="H44" s="80"/>
      <c r="I44" s="81"/>
      <c r="J44" s="80"/>
      <c r="K44" s="81"/>
      <c r="L44" s="211"/>
      <c r="M44" s="211"/>
    </row>
    <row r="45" spans="2:13" outlineLevel="1">
      <c r="B45" s="184"/>
      <c r="C45" s="39" t="s">
        <v>211</v>
      </c>
      <c r="D45" s="84">
        <f>'Факт ПС за 3 года'!Q23</f>
        <v>0</v>
      </c>
      <c r="E45" s="84">
        <f>'Факт ПС за 3 года'!R23</f>
        <v>0</v>
      </c>
      <c r="F45" s="160"/>
      <c r="G45" s="160"/>
      <c r="H45" s="204"/>
      <c r="I45" s="204"/>
      <c r="J45" s="204"/>
      <c r="K45" s="204"/>
    </row>
    <row r="46" spans="2:13" outlineLevel="1">
      <c r="B46" s="184"/>
      <c r="C46" s="39" t="s">
        <v>212</v>
      </c>
      <c r="D46" s="84">
        <f>'Факт ПС за 3 года'!Q24</f>
        <v>0</v>
      </c>
      <c r="E46" s="84">
        <f>'Факт ПС за 3 года'!R24</f>
        <v>0</v>
      </c>
      <c r="F46" s="160"/>
      <c r="G46" s="160"/>
      <c r="H46" s="204"/>
      <c r="I46" s="204"/>
      <c r="J46" s="204"/>
      <c r="K46" s="204"/>
    </row>
    <row r="47" spans="2:13" ht="24" outlineLevel="1">
      <c r="B47" s="184" t="s">
        <v>34</v>
      </c>
      <c r="C47" s="39" t="s">
        <v>35</v>
      </c>
      <c r="D47" s="84" t="e">
        <f>ROUND(AVERAGE(F47,H47,J47),3)</f>
        <v>#DIV/0!</v>
      </c>
      <c r="E47" s="84" t="e">
        <f>ROUND(AVERAGE(G47,I47,K47),3)</f>
        <v>#DIV/0!</v>
      </c>
      <c r="F47" s="78"/>
      <c r="G47" s="79"/>
      <c r="H47" s="78"/>
      <c r="I47" s="79"/>
      <c r="J47" s="79"/>
      <c r="K47" s="79"/>
      <c r="L47" s="211"/>
      <c r="M47" s="211"/>
    </row>
    <row r="48" spans="2:13" outlineLevel="1">
      <c r="B48" s="260" t="s">
        <v>48</v>
      </c>
      <c r="C48" s="260"/>
      <c r="D48" s="160"/>
      <c r="E48" s="160"/>
      <c r="F48" s="160"/>
      <c r="G48" s="160"/>
      <c r="H48" s="204"/>
      <c r="I48" s="204"/>
      <c r="J48" s="204"/>
      <c r="K48" s="204"/>
    </row>
    <row r="49" spans="2:13" outlineLevel="1">
      <c r="B49" s="184" t="s">
        <v>49</v>
      </c>
      <c r="C49" s="39" t="s">
        <v>28</v>
      </c>
      <c r="D49" s="84">
        <f>ROUND(AVERAGE(F49,H49,J49),3)</f>
        <v>0</v>
      </c>
      <c r="E49" s="84">
        <f>ROUND(AVERAGE(G49,I49,K49),3)</f>
        <v>0</v>
      </c>
      <c r="F49" s="180">
        <f>SUM(F50:F55)</f>
        <v>0</v>
      </c>
      <c r="G49" s="180">
        <f t="shared" ref="G49" si="10">SUM(G50:G55)</f>
        <v>0</v>
      </c>
      <c r="H49" s="180">
        <f t="shared" ref="H49" si="11">SUM(H50:H55)</f>
        <v>0</v>
      </c>
      <c r="I49" s="180">
        <f t="shared" ref="I49" si="12">SUM(I50:I55)</f>
        <v>0</v>
      </c>
      <c r="J49" s="180">
        <f t="shared" ref="J49" si="13">SUM(J50:J55)</f>
        <v>0</v>
      </c>
      <c r="K49" s="180">
        <f t="shared" ref="K49" si="14">SUM(K50:K55)</f>
        <v>0</v>
      </c>
      <c r="L49" s="212"/>
      <c r="M49" s="212"/>
    </row>
    <row r="50" spans="2:13" outlineLevel="1">
      <c r="B50" s="184"/>
      <c r="C50" s="39" t="s">
        <v>190</v>
      </c>
      <c r="D50" s="84" t="e">
        <f>ROUND(AVERAGE(F50,H50,J50),3)</f>
        <v>#DIV/0!</v>
      </c>
      <c r="E50" s="84" t="e">
        <f>ROUND(AVERAGE(G50,I50,K50),3)</f>
        <v>#DIV/0!</v>
      </c>
      <c r="F50" s="181"/>
      <c r="G50" s="79"/>
      <c r="H50" s="78"/>
      <c r="I50" s="79"/>
      <c r="J50" s="78"/>
      <c r="K50" s="78"/>
      <c r="L50" s="210"/>
      <c r="M50" s="211"/>
    </row>
    <row r="51" spans="2:13" outlineLevel="1">
      <c r="B51" s="184"/>
      <c r="C51" s="39" t="s">
        <v>191</v>
      </c>
      <c r="D51" s="84" t="e">
        <f t="shared" ref="D51:D54" si="15">ROUND(AVERAGE(F51,H51,J51),3)</f>
        <v>#DIV/0!</v>
      </c>
      <c r="E51" s="84" t="e">
        <f t="shared" ref="E51" si="16">ROUND(AVERAGE(G51,I51,K51),3)</f>
        <v>#DIV/0!</v>
      </c>
      <c r="F51" s="181"/>
      <c r="G51" s="79"/>
      <c r="H51" s="78"/>
      <c r="I51" s="79"/>
      <c r="J51" s="78"/>
      <c r="K51" s="78"/>
      <c r="L51" s="210"/>
      <c r="M51" s="211"/>
    </row>
    <row r="52" spans="2:13" outlineLevel="1">
      <c r="B52" s="184"/>
      <c r="C52" s="39" t="s">
        <v>192</v>
      </c>
      <c r="D52" s="84" t="e">
        <f t="shared" si="15"/>
        <v>#DIV/0!</v>
      </c>
      <c r="E52" s="84" t="e">
        <f>ROUND(AVERAGE(G52,I52,K52),3)</f>
        <v>#DIV/0!</v>
      </c>
      <c r="F52" s="181"/>
      <c r="G52" s="79"/>
      <c r="H52" s="78"/>
      <c r="I52" s="79"/>
      <c r="J52" s="78"/>
      <c r="K52" s="78"/>
      <c r="L52" s="210"/>
      <c r="M52" s="211"/>
    </row>
    <row r="53" spans="2:13" outlineLevel="1">
      <c r="B53" s="184"/>
      <c r="C53" s="39" t="s">
        <v>193</v>
      </c>
      <c r="D53" s="84" t="e">
        <f t="shared" si="15"/>
        <v>#DIV/0!</v>
      </c>
      <c r="E53" s="84" t="e">
        <f>ROUND(AVERAGE(G53,I53,K53),3)</f>
        <v>#DIV/0!</v>
      </c>
      <c r="F53" s="181"/>
      <c r="G53" s="79"/>
      <c r="H53" s="78"/>
      <c r="I53" s="79"/>
      <c r="J53" s="78"/>
      <c r="K53" s="78"/>
      <c r="L53" s="210"/>
      <c r="M53" s="211"/>
    </row>
    <row r="54" spans="2:13" outlineLevel="1">
      <c r="B54" s="184"/>
      <c r="C54" s="39" t="s">
        <v>194</v>
      </c>
      <c r="D54" s="84" t="e">
        <f t="shared" si="15"/>
        <v>#DIV/0!</v>
      </c>
      <c r="E54" s="84" t="e">
        <f t="shared" ref="E54" si="17">ROUND(AVERAGE(G54,I54,K54),3)</f>
        <v>#DIV/0!</v>
      </c>
      <c r="F54" s="181"/>
      <c r="G54" s="79"/>
      <c r="H54" s="78"/>
      <c r="I54" s="79"/>
      <c r="J54" s="78"/>
      <c r="K54" s="78"/>
      <c r="L54" s="210"/>
      <c r="M54" s="211"/>
    </row>
    <row r="55" spans="2:13" outlineLevel="1">
      <c r="B55" s="184"/>
      <c r="C55" s="39" t="s">
        <v>195</v>
      </c>
      <c r="D55" s="84" t="e">
        <f>ROUND(AVERAGE(F55,H55,J55),0)</f>
        <v>#DIV/0!</v>
      </c>
      <c r="E55" s="84" t="e">
        <f>ROUND(AVERAGE(G55,I55,K55),0)</f>
        <v>#DIV/0!</v>
      </c>
      <c r="F55" s="181"/>
      <c r="G55" s="79"/>
      <c r="H55" s="78"/>
      <c r="I55" s="79"/>
      <c r="J55" s="78"/>
      <c r="K55" s="78"/>
      <c r="L55" s="210"/>
      <c r="M55" s="211"/>
    </row>
    <row r="56" spans="2:13" outlineLevel="1">
      <c r="B56" s="184" t="s">
        <v>50</v>
      </c>
      <c r="C56" s="39" t="s">
        <v>30</v>
      </c>
      <c r="D56" s="84">
        <f>ROUND(AVERAGE(F56,H56,J56),3)</f>
        <v>0</v>
      </c>
      <c r="E56" s="84">
        <f>ROUND(AVERAGE(G56,I56,K56),3)</f>
        <v>0</v>
      </c>
      <c r="F56" s="180">
        <f>SUM(F57:F64)</f>
        <v>0</v>
      </c>
      <c r="G56" s="180">
        <f t="shared" ref="G56" si="18">SUM(G57:G64)</f>
        <v>0</v>
      </c>
      <c r="H56" s="180">
        <f t="shared" ref="H56" si="19">SUM(H57:H64)</f>
        <v>0</v>
      </c>
      <c r="I56" s="180">
        <f t="shared" ref="I56" si="20">SUM(I57:I64)</f>
        <v>0</v>
      </c>
      <c r="J56" s="180">
        <f t="shared" ref="J56" si="21">SUM(J57:J64)</f>
        <v>0</v>
      </c>
      <c r="K56" s="180">
        <f t="shared" ref="K56" si="22">SUM(K57:K64)</f>
        <v>0</v>
      </c>
      <c r="L56" s="212"/>
      <c r="M56" s="212"/>
    </row>
    <row r="57" spans="2:13" outlineLevel="1">
      <c r="B57" s="184"/>
      <c r="C57" s="39" t="s">
        <v>196</v>
      </c>
      <c r="D57" s="84" t="e">
        <f>ROUND(AVERAGE(F57,H57,J57),3)</f>
        <v>#DIV/0!</v>
      </c>
      <c r="E57" s="84" t="e">
        <f>ROUND(AVERAGE(G57,I57,K57),3)</f>
        <v>#DIV/0!</v>
      </c>
      <c r="F57" s="181"/>
      <c r="G57" s="79"/>
      <c r="H57" s="78"/>
      <c r="I57" s="79"/>
      <c r="J57" s="78"/>
      <c r="K57" s="78"/>
      <c r="L57" s="210"/>
      <c r="M57" s="211"/>
    </row>
    <row r="58" spans="2:13" outlineLevel="1">
      <c r="B58" s="184"/>
      <c r="C58" s="39" t="s">
        <v>197</v>
      </c>
      <c r="D58" s="84" t="e">
        <f t="shared" ref="D58:D61" si="23">ROUND(AVERAGE(F58,H58,J58),3)</f>
        <v>#DIV/0!</v>
      </c>
      <c r="E58" s="84" t="e">
        <f t="shared" ref="E58:E59" si="24">ROUND(AVERAGE(G58,I58,K58),3)</f>
        <v>#DIV/0!</v>
      </c>
      <c r="F58" s="181"/>
      <c r="G58" s="79"/>
      <c r="H58" s="78"/>
      <c r="I58" s="79"/>
      <c r="J58" s="78"/>
      <c r="K58" s="78"/>
      <c r="L58" s="210"/>
      <c r="M58" s="211"/>
    </row>
    <row r="59" spans="2:13" outlineLevel="1">
      <c r="B59" s="184"/>
      <c r="C59" s="39" t="s">
        <v>198</v>
      </c>
      <c r="D59" s="84" t="e">
        <f t="shared" si="23"/>
        <v>#DIV/0!</v>
      </c>
      <c r="E59" s="84" t="e">
        <f t="shared" si="24"/>
        <v>#DIV/0!</v>
      </c>
      <c r="F59" s="181"/>
      <c r="G59" s="79"/>
      <c r="H59" s="78"/>
      <c r="I59" s="79"/>
      <c r="J59" s="78"/>
      <c r="K59" s="78"/>
      <c r="L59" s="210"/>
      <c r="M59" s="211"/>
    </row>
    <row r="60" spans="2:13" outlineLevel="1">
      <c r="B60" s="184"/>
      <c r="C60" s="39" t="s">
        <v>199</v>
      </c>
      <c r="D60" s="84" t="e">
        <f t="shared" si="23"/>
        <v>#DIV/0!</v>
      </c>
      <c r="E60" s="84" t="e">
        <f>ROUND(AVERAGE(G60,I60,K60),3)</f>
        <v>#DIV/0!</v>
      </c>
      <c r="F60" s="181"/>
      <c r="G60" s="79"/>
      <c r="H60" s="78"/>
      <c r="I60" s="79"/>
      <c r="J60" s="78"/>
      <c r="K60" s="78"/>
      <c r="L60" s="210"/>
      <c r="M60" s="211"/>
    </row>
    <row r="61" spans="2:13" outlineLevel="1">
      <c r="B61" s="184"/>
      <c r="C61" s="39" t="s">
        <v>200</v>
      </c>
      <c r="D61" s="84" t="e">
        <f t="shared" si="23"/>
        <v>#DIV/0!</v>
      </c>
      <c r="E61" s="84" t="e">
        <f t="shared" ref="E61" si="25">ROUND(AVERAGE(G61,I61,K61),3)</f>
        <v>#DIV/0!</v>
      </c>
      <c r="F61" s="181"/>
      <c r="G61" s="79"/>
      <c r="H61" s="78"/>
      <c r="I61" s="79"/>
      <c r="J61" s="78"/>
      <c r="K61" s="78"/>
      <c r="L61" s="210"/>
      <c r="M61" s="211"/>
    </row>
    <row r="62" spans="2:13" outlineLevel="1">
      <c r="B62" s="184"/>
      <c r="C62" s="39" t="s">
        <v>201</v>
      </c>
      <c r="D62" s="84" t="e">
        <f>ROUND(AVERAGE(F62,H62,J62),0)</f>
        <v>#DIV/0!</v>
      </c>
      <c r="E62" s="84" t="e">
        <f>ROUND(AVERAGE(G62,I62,K62),0)</f>
        <v>#DIV/0!</v>
      </c>
      <c r="F62" s="181"/>
      <c r="G62" s="79"/>
      <c r="H62" s="78"/>
      <c r="I62" s="79"/>
      <c r="J62" s="78"/>
      <c r="K62" s="78"/>
      <c r="L62" s="210"/>
      <c r="M62" s="211"/>
    </row>
    <row r="63" spans="2:13" outlineLevel="1">
      <c r="B63" s="184"/>
      <c r="C63" s="39" t="s">
        <v>202</v>
      </c>
      <c r="D63" s="84" t="e">
        <f t="shared" ref="D63:D64" si="26">ROUND(AVERAGE(F63,H63,J63),0)</f>
        <v>#DIV/0!</v>
      </c>
      <c r="E63" s="84" t="e">
        <f t="shared" ref="E63:E64" si="27">ROUND(AVERAGE(G63,I63,K63),0)</f>
        <v>#DIV/0!</v>
      </c>
      <c r="F63" s="181"/>
      <c r="G63" s="79"/>
      <c r="H63" s="78"/>
      <c r="I63" s="79"/>
      <c r="J63" s="78"/>
      <c r="K63" s="78"/>
      <c r="L63" s="210"/>
      <c r="M63" s="211"/>
    </row>
    <row r="64" spans="2:13" outlineLevel="1">
      <c r="B64" s="184"/>
      <c r="C64" s="39" t="s">
        <v>203</v>
      </c>
      <c r="D64" s="84" t="e">
        <f t="shared" si="26"/>
        <v>#DIV/0!</v>
      </c>
      <c r="E64" s="84" t="e">
        <f t="shared" si="27"/>
        <v>#DIV/0!</v>
      </c>
      <c r="F64" s="181"/>
      <c r="G64" s="79"/>
      <c r="H64" s="78"/>
      <c r="I64" s="79"/>
      <c r="J64" s="78"/>
      <c r="K64" s="78"/>
      <c r="L64" s="210"/>
      <c r="M64" s="211"/>
    </row>
    <row r="65" spans="2:13" outlineLevel="1">
      <c r="B65" s="184" t="s">
        <v>51</v>
      </c>
      <c r="C65" s="39" t="s">
        <v>44</v>
      </c>
      <c r="D65" s="84">
        <f t="shared" ref="D65:E67" si="28">ROUND(AVERAGE(F65,H65,J65),3)</f>
        <v>0</v>
      </c>
      <c r="E65" s="84">
        <f t="shared" si="28"/>
        <v>0</v>
      </c>
      <c r="F65" s="180">
        <f>SUM(F66:F67)</f>
        <v>0</v>
      </c>
      <c r="G65" s="180">
        <f t="shared" ref="G65" si="29">SUM(G66:G67)</f>
        <v>0</v>
      </c>
      <c r="H65" s="180">
        <f t="shared" ref="H65" si="30">SUM(H66:H67)</f>
        <v>0</v>
      </c>
      <c r="I65" s="180">
        <f t="shared" ref="I65" si="31">SUM(I66:I67)</f>
        <v>0</v>
      </c>
      <c r="J65" s="180">
        <f t="shared" ref="J65" si="32">SUM(J66:J67)</f>
        <v>0</v>
      </c>
      <c r="K65" s="180">
        <f t="shared" ref="K65" si="33">SUM(K66:K67)</f>
        <v>0</v>
      </c>
      <c r="L65" s="212"/>
      <c r="M65" s="212"/>
    </row>
    <row r="66" spans="2:13" outlineLevel="1">
      <c r="B66" s="184"/>
      <c r="C66" s="39" t="s">
        <v>204</v>
      </c>
      <c r="D66" s="84" t="e">
        <f t="shared" si="28"/>
        <v>#DIV/0!</v>
      </c>
      <c r="E66" s="84" t="e">
        <f t="shared" si="28"/>
        <v>#DIV/0!</v>
      </c>
      <c r="F66" s="78"/>
      <c r="G66" s="79"/>
      <c r="H66" s="78"/>
      <c r="I66" s="79"/>
      <c r="J66" s="79"/>
      <c r="K66" s="79"/>
      <c r="L66" s="211"/>
      <c r="M66" s="211"/>
    </row>
    <row r="67" spans="2:13" outlineLevel="1">
      <c r="B67" s="184"/>
      <c r="C67" s="39" t="s">
        <v>205</v>
      </c>
      <c r="D67" s="84" t="e">
        <f t="shared" si="28"/>
        <v>#DIV/0!</v>
      </c>
      <c r="E67" s="84" t="e">
        <f t="shared" si="28"/>
        <v>#DIV/0!</v>
      </c>
      <c r="F67" s="78"/>
      <c r="G67" s="79"/>
      <c r="H67" s="78"/>
      <c r="I67" s="79"/>
      <c r="J67" s="79"/>
      <c r="K67" s="79"/>
      <c r="L67" s="211"/>
      <c r="M67" s="211"/>
    </row>
    <row r="68" spans="2:13" ht="48" outlineLevel="1">
      <c r="B68" s="184" t="s">
        <v>52</v>
      </c>
      <c r="C68" s="39" t="s">
        <v>33</v>
      </c>
      <c r="D68" s="170"/>
      <c r="E68" s="170"/>
      <c r="F68" s="80"/>
      <c r="G68" s="81"/>
      <c r="H68" s="80"/>
      <c r="I68" s="81"/>
      <c r="J68" s="80"/>
      <c r="K68" s="81"/>
      <c r="L68" s="211"/>
      <c r="M68" s="211"/>
    </row>
    <row r="69" spans="2:13" outlineLevel="1">
      <c r="B69" s="184"/>
      <c r="C69" s="39" t="s">
        <v>55</v>
      </c>
      <c r="D69" s="84">
        <f>'Факт ПС за 3 года'!Q26</f>
        <v>0</v>
      </c>
      <c r="E69" s="84">
        <f>'Факт ПС за 3 года'!R26</f>
        <v>0</v>
      </c>
      <c r="F69" s="80"/>
      <c r="G69" s="80"/>
      <c r="H69" s="80"/>
      <c r="I69" s="80"/>
      <c r="J69" s="80"/>
      <c r="K69" s="80"/>
      <c r="L69" s="210"/>
      <c r="M69" s="210"/>
    </row>
    <row r="70" spans="2:13" outlineLevel="1">
      <c r="B70" s="184"/>
      <c r="C70" s="39" t="s">
        <v>206</v>
      </c>
      <c r="D70" s="84">
        <f>'Факт ПС за 3 года'!Q27</f>
        <v>0</v>
      </c>
      <c r="E70" s="84">
        <f>'Факт ПС за 3 года'!R27</f>
        <v>0</v>
      </c>
      <c r="F70" s="80"/>
      <c r="G70" s="81"/>
      <c r="H70" s="80"/>
      <c r="I70" s="81"/>
      <c r="J70" s="80"/>
      <c r="K70" s="81"/>
      <c r="L70" s="211"/>
      <c r="M70" s="211"/>
    </row>
    <row r="71" spans="2:13" outlineLevel="1">
      <c r="B71" s="184"/>
      <c r="C71" s="39" t="s">
        <v>54</v>
      </c>
      <c r="D71" s="84">
        <f>'Факт ПС за 3 года'!Q28</f>
        <v>0</v>
      </c>
      <c r="E71" s="84">
        <f>'Факт ПС за 3 года'!R28</f>
        <v>0</v>
      </c>
      <c r="F71" s="80"/>
      <c r="G71" s="81"/>
      <c r="H71" s="80"/>
      <c r="I71" s="81"/>
      <c r="J71" s="80"/>
      <c r="K71" s="81"/>
      <c r="L71" s="211"/>
      <c r="M71" s="211"/>
    </row>
    <row r="72" spans="2:13" outlineLevel="1">
      <c r="B72" s="184"/>
      <c r="C72" s="39" t="s">
        <v>45</v>
      </c>
      <c r="D72" s="84">
        <f>'Факт ПС за 3 года'!Q29</f>
        <v>0</v>
      </c>
      <c r="E72" s="84">
        <f>'Факт ПС за 3 года'!R29</f>
        <v>0</v>
      </c>
      <c r="F72" s="80"/>
      <c r="G72" s="81"/>
      <c r="H72" s="80"/>
      <c r="I72" s="81"/>
      <c r="J72" s="80"/>
      <c r="K72" s="81"/>
      <c r="L72" s="211"/>
      <c r="M72" s="211"/>
    </row>
    <row r="73" spans="2:13" outlineLevel="1">
      <c r="B73" s="184"/>
      <c r="C73" s="39" t="s">
        <v>46</v>
      </c>
      <c r="D73" s="84">
        <f>'Факт ПС за 3 года'!Q30</f>
        <v>0</v>
      </c>
      <c r="E73" s="84">
        <f>'Факт ПС за 3 года'!R30</f>
        <v>0</v>
      </c>
      <c r="F73" s="80"/>
      <c r="G73" s="80"/>
      <c r="H73" s="80"/>
      <c r="I73" s="80"/>
      <c r="J73" s="80"/>
      <c r="K73" s="80"/>
      <c r="L73" s="210"/>
      <c r="M73" s="210"/>
    </row>
    <row r="74" spans="2:13" outlineLevel="1">
      <c r="B74" s="184"/>
      <c r="C74" s="39" t="s">
        <v>47</v>
      </c>
      <c r="D74" s="84">
        <f>'Факт ПС за 3 года'!Q31</f>
        <v>0</v>
      </c>
      <c r="E74" s="84">
        <f>'Факт ПС за 3 года'!R31</f>
        <v>0</v>
      </c>
      <c r="F74" s="159"/>
      <c r="G74" s="163"/>
      <c r="H74" s="159"/>
      <c r="I74" s="163"/>
      <c r="J74" s="159"/>
      <c r="K74" s="163"/>
      <c r="L74" s="211"/>
      <c r="M74" s="211"/>
    </row>
    <row r="75" spans="2:13" outlineLevel="1">
      <c r="B75" s="184"/>
      <c r="C75" s="39" t="s">
        <v>207</v>
      </c>
      <c r="D75" s="84">
        <f>'Факт ПС за 3 года'!Q32</f>
        <v>0</v>
      </c>
      <c r="E75" s="84">
        <f>'Факт ПС за 3 года'!R32</f>
        <v>0</v>
      </c>
      <c r="F75" s="159"/>
      <c r="G75" s="163"/>
      <c r="H75" s="159"/>
      <c r="I75" s="163"/>
      <c r="J75" s="159"/>
      <c r="K75" s="163"/>
      <c r="L75" s="211"/>
      <c r="M75" s="211"/>
    </row>
    <row r="76" spans="2:13" outlineLevel="1">
      <c r="B76" s="184"/>
      <c r="C76" s="39" t="s">
        <v>208</v>
      </c>
      <c r="D76" s="84">
        <f>'Факт ПС за 3 года'!Q33</f>
        <v>0</v>
      </c>
      <c r="E76" s="84">
        <f>'Факт ПС за 3 года'!R33</f>
        <v>0</v>
      </c>
      <c r="F76" s="159"/>
      <c r="G76" s="163"/>
      <c r="H76" s="159"/>
      <c r="I76" s="163"/>
      <c r="J76" s="159"/>
      <c r="K76" s="163"/>
      <c r="L76" s="211"/>
      <c r="M76" s="211"/>
    </row>
    <row r="77" spans="2:13" outlineLevel="1">
      <c r="B77" s="184"/>
      <c r="C77" s="39" t="s">
        <v>59</v>
      </c>
      <c r="D77" s="84">
        <f>'Факт ПС за 3 года'!Q34</f>
        <v>0</v>
      </c>
      <c r="E77" s="84">
        <f>'Факт ПС за 3 года'!R34</f>
        <v>0</v>
      </c>
      <c r="F77" s="159"/>
      <c r="G77" s="163"/>
      <c r="H77" s="159"/>
      <c r="I77" s="163"/>
      <c r="J77" s="159"/>
      <c r="K77" s="163"/>
      <c r="L77" s="211"/>
      <c r="M77" s="211"/>
    </row>
    <row r="78" spans="2:13" outlineLevel="1">
      <c r="B78" s="184"/>
      <c r="C78" s="39" t="s">
        <v>60</v>
      </c>
      <c r="D78" s="84">
        <f>'Факт ПС за 3 года'!Q35</f>
        <v>0</v>
      </c>
      <c r="E78" s="84">
        <f>'Факт ПС за 3 года'!R35</f>
        <v>0</v>
      </c>
      <c r="F78" s="159"/>
      <c r="G78" s="163"/>
      <c r="H78" s="159"/>
      <c r="I78" s="163"/>
      <c r="J78" s="159"/>
      <c r="K78" s="163"/>
      <c r="L78" s="211"/>
      <c r="M78" s="211"/>
    </row>
    <row r="79" spans="2:13" outlineLevel="1">
      <c r="B79" s="184"/>
      <c r="C79" s="39" t="s">
        <v>61</v>
      </c>
      <c r="D79" s="84">
        <f>'Факт ПС за 3 года'!Q36</f>
        <v>0</v>
      </c>
      <c r="E79" s="84">
        <f>'Факт ПС за 3 года'!R36</f>
        <v>0</v>
      </c>
      <c r="F79" s="80"/>
      <c r="G79" s="81"/>
      <c r="H79" s="80"/>
      <c r="I79" s="81"/>
      <c r="J79" s="80"/>
      <c r="K79" s="81"/>
      <c r="L79" s="211"/>
      <c r="M79" s="211"/>
    </row>
    <row r="80" spans="2:13" outlineLevel="1">
      <c r="B80" s="184"/>
      <c r="C80" s="39" t="s">
        <v>209</v>
      </c>
      <c r="D80" s="84">
        <f>'Факт ПС за 3 года'!Q37</f>
        <v>0</v>
      </c>
      <c r="E80" s="84">
        <f>'Факт ПС за 3 года'!R37</f>
        <v>0</v>
      </c>
      <c r="F80" s="80"/>
      <c r="G80" s="81"/>
      <c r="H80" s="80"/>
      <c r="I80" s="81"/>
      <c r="J80" s="80"/>
      <c r="K80" s="81"/>
      <c r="L80" s="211"/>
      <c r="M80" s="211"/>
    </row>
    <row r="81" spans="2:13" outlineLevel="1">
      <c r="B81" s="184"/>
      <c r="C81" s="39" t="s">
        <v>210</v>
      </c>
      <c r="D81" s="84">
        <f>'Факт ПС за 3 года'!Q38</f>
        <v>0</v>
      </c>
      <c r="E81" s="84">
        <f>'Факт ПС за 3 года'!R38</f>
        <v>0</v>
      </c>
      <c r="F81" s="80"/>
      <c r="G81" s="81"/>
      <c r="H81" s="80"/>
      <c r="I81" s="81"/>
      <c r="J81" s="80"/>
      <c r="K81" s="81"/>
      <c r="L81" s="211"/>
      <c r="M81" s="211"/>
    </row>
    <row r="82" spans="2:13" outlineLevel="1">
      <c r="B82" s="184"/>
      <c r="C82" s="39" t="s">
        <v>211</v>
      </c>
      <c r="D82" s="84">
        <f>'Факт ПС за 3 года'!Q39</f>
        <v>0</v>
      </c>
      <c r="E82" s="84">
        <f>'Факт ПС за 3 года'!R39</f>
        <v>0</v>
      </c>
      <c r="F82" s="160"/>
      <c r="G82" s="160"/>
      <c r="H82" s="204"/>
      <c r="I82" s="204"/>
      <c r="J82" s="204"/>
      <c r="K82" s="204"/>
    </row>
    <row r="83" spans="2:13" outlineLevel="1">
      <c r="B83" s="184"/>
      <c r="C83" s="39" t="s">
        <v>212</v>
      </c>
      <c r="D83" s="84">
        <f>'Факт ПС за 3 года'!Q40</f>
        <v>0</v>
      </c>
      <c r="E83" s="84">
        <f>'Факт ПС за 3 года'!R40</f>
        <v>0</v>
      </c>
      <c r="F83" s="160"/>
      <c r="G83" s="160"/>
      <c r="H83" s="204"/>
      <c r="I83" s="204"/>
      <c r="J83" s="204"/>
      <c r="K83" s="204"/>
    </row>
    <row r="84" spans="2:13" ht="24" outlineLevel="1">
      <c r="B84" s="184" t="s">
        <v>53</v>
      </c>
      <c r="C84" s="39" t="s">
        <v>35</v>
      </c>
      <c r="D84" s="84" t="e">
        <f>ROUND(AVERAGE(F84,H84,J84),3)</f>
        <v>#DIV/0!</v>
      </c>
      <c r="E84" s="84" t="e">
        <f>ROUND(AVERAGE(G84,I84,K84),3)</f>
        <v>#DIV/0!</v>
      </c>
      <c r="F84" s="78"/>
      <c r="G84" s="79"/>
      <c r="H84" s="78"/>
      <c r="I84" s="79"/>
      <c r="J84" s="79"/>
      <c r="K84" s="79"/>
      <c r="L84" s="211"/>
      <c r="M84" s="211"/>
    </row>
    <row r="85" spans="2:13" ht="15.75">
      <c r="B85" s="261" t="s">
        <v>215</v>
      </c>
      <c r="C85" s="262"/>
      <c r="D85" s="262"/>
      <c r="E85" s="262"/>
      <c r="F85" s="262"/>
      <c r="G85" s="262"/>
      <c r="H85" s="262"/>
      <c r="I85" s="262"/>
      <c r="J85" s="262"/>
      <c r="K85" s="262"/>
      <c r="L85" s="265"/>
      <c r="M85" s="266"/>
    </row>
    <row r="86" spans="2:13" outlineLevel="1">
      <c r="B86" s="82">
        <v>1</v>
      </c>
      <c r="C86" s="83" t="s">
        <v>88</v>
      </c>
      <c r="D86" s="84" t="e">
        <f>ROUND(AVERAGE(F86,H86,J86,L86),0)</f>
        <v>#DIV/0!</v>
      </c>
      <c r="E86" s="84" t="e">
        <f>ROUND(AVERAGE(G86,I86,K86,M86),3)</f>
        <v>#DIV/0!</v>
      </c>
      <c r="F86" s="78"/>
      <c r="G86" s="78"/>
      <c r="H86" s="78"/>
      <c r="I86" s="78"/>
      <c r="J86" s="78"/>
      <c r="K86" s="78"/>
      <c r="L86" s="78"/>
      <c r="M86" s="78"/>
    </row>
    <row r="87" spans="2:13" outlineLevel="1">
      <c r="B87" s="82" t="s">
        <v>5</v>
      </c>
      <c r="C87" s="83" t="s">
        <v>84</v>
      </c>
      <c r="D87" s="160"/>
      <c r="E87" s="160"/>
      <c r="F87" s="159"/>
      <c r="G87" s="159"/>
      <c r="H87" s="159"/>
      <c r="I87" s="159"/>
      <c r="J87" s="159"/>
      <c r="K87" s="159"/>
      <c r="L87" s="159"/>
      <c r="M87" s="159"/>
    </row>
    <row r="88" spans="2:13" outlineLevel="1">
      <c r="B88" s="267" t="s">
        <v>43</v>
      </c>
      <c r="C88" s="267"/>
      <c r="D88" s="205"/>
      <c r="E88" s="205"/>
      <c r="F88" s="80"/>
      <c r="G88" s="81"/>
      <c r="H88" s="80"/>
      <c r="I88" s="81"/>
      <c r="J88" s="80"/>
      <c r="K88" s="81"/>
      <c r="L88" s="81"/>
      <c r="M88" s="81"/>
    </row>
    <row r="89" spans="2:13" outlineLevel="1">
      <c r="B89" s="184" t="s">
        <v>27</v>
      </c>
      <c r="C89" s="39" t="s">
        <v>28</v>
      </c>
      <c r="D89" s="84">
        <f>ROUND(AVERAGE(F89,H89,SUM(J89,L89)),3)</f>
        <v>0</v>
      </c>
      <c r="E89" s="84">
        <f>ROUND(AVERAGE(G89,I89,SUM(K89,M89)),3)</f>
        <v>0</v>
      </c>
      <c r="F89" s="180">
        <f>SUM(F90:F95)</f>
        <v>0</v>
      </c>
      <c r="G89" s="180">
        <f t="shared" ref="G89" si="34">SUM(G90:G95)</f>
        <v>0</v>
      </c>
      <c r="H89" s="180">
        <f t="shared" ref="H89" si="35">SUM(H90:H95)</f>
        <v>0</v>
      </c>
      <c r="I89" s="180">
        <f t="shared" ref="I89" si="36">SUM(I90:I95)</f>
        <v>0</v>
      </c>
      <c r="J89" s="180">
        <f t="shared" ref="J89" si="37">SUM(J90:J95)</f>
        <v>0</v>
      </c>
      <c r="K89" s="180">
        <f t="shared" ref="K89" si="38">SUM(K90:K95)</f>
        <v>0</v>
      </c>
      <c r="L89" s="180">
        <f t="shared" ref="L89" si="39">SUM(L90:L95)</f>
        <v>0</v>
      </c>
      <c r="M89" s="180">
        <f>SUM(M90:M95)</f>
        <v>0</v>
      </c>
    </row>
    <row r="90" spans="2:13" outlineLevel="1">
      <c r="B90" s="184"/>
      <c r="C90" s="39" t="s">
        <v>190</v>
      </c>
      <c r="D90" s="84">
        <f>ROUND(AVERAGE(F90,H90,SUM(J90,L90)),3)</f>
        <v>0</v>
      </c>
      <c r="E90" s="84">
        <f>ROUND(AVERAGE(G90,I90,SUM(K90,M90)),3)</f>
        <v>0</v>
      </c>
      <c r="F90" s="181"/>
      <c r="G90" s="79"/>
      <c r="H90" s="78"/>
      <c r="I90" s="79"/>
      <c r="J90" s="78"/>
      <c r="K90" s="78"/>
      <c r="L90" s="78"/>
      <c r="M90" s="79"/>
    </row>
    <row r="91" spans="2:13" outlineLevel="1">
      <c r="B91" s="184"/>
      <c r="C91" s="39" t="s">
        <v>191</v>
      </c>
      <c r="D91" s="84">
        <f t="shared" ref="D91:D95" si="40">ROUND(AVERAGE(F91,H91,SUM(J91,L91)),3)</f>
        <v>0</v>
      </c>
      <c r="E91" s="84">
        <f t="shared" ref="E91:E95" si="41">ROUND(AVERAGE(G91,I91,SUM(K91,M91)),3)</f>
        <v>0</v>
      </c>
      <c r="F91" s="181"/>
      <c r="G91" s="79"/>
      <c r="H91" s="78"/>
      <c r="I91" s="79"/>
      <c r="J91" s="78"/>
      <c r="K91" s="78"/>
      <c r="L91" s="78"/>
      <c r="M91" s="79"/>
    </row>
    <row r="92" spans="2:13" outlineLevel="1">
      <c r="B92" s="184"/>
      <c r="C92" s="39" t="s">
        <v>192</v>
      </c>
      <c r="D92" s="84">
        <f t="shared" si="40"/>
        <v>0</v>
      </c>
      <c r="E92" s="84">
        <f t="shared" si="41"/>
        <v>0</v>
      </c>
      <c r="F92" s="181"/>
      <c r="G92" s="79"/>
      <c r="H92" s="78"/>
      <c r="I92" s="79"/>
      <c r="J92" s="78"/>
      <c r="K92" s="78"/>
      <c r="L92" s="78"/>
      <c r="M92" s="79"/>
    </row>
    <row r="93" spans="2:13" outlineLevel="1">
      <c r="B93" s="184"/>
      <c r="C93" s="39" t="s">
        <v>193</v>
      </c>
      <c r="D93" s="84">
        <f t="shared" si="40"/>
        <v>0</v>
      </c>
      <c r="E93" s="84">
        <f t="shared" si="41"/>
        <v>0</v>
      </c>
      <c r="F93" s="181"/>
      <c r="G93" s="79"/>
      <c r="H93" s="78"/>
      <c r="I93" s="79"/>
      <c r="J93" s="78"/>
      <c r="K93" s="78"/>
      <c r="L93" s="78"/>
      <c r="M93" s="79"/>
    </row>
    <row r="94" spans="2:13" outlineLevel="1">
      <c r="B94" s="184"/>
      <c r="C94" s="39" t="s">
        <v>194</v>
      </c>
      <c r="D94" s="84">
        <f t="shared" si="40"/>
        <v>0</v>
      </c>
      <c r="E94" s="84">
        <f t="shared" si="41"/>
        <v>0</v>
      </c>
      <c r="F94" s="181"/>
      <c r="G94" s="79"/>
      <c r="H94" s="78"/>
      <c r="I94" s="79"/>
      <c r="J94" s="78"/>
      <c r="K94" s="78"/>
      <c r="L94" s="78"/>
      <c r="M94" s="79"/>
    </row>
    <row r="95" spans="2:13" outlineLevel="1">
      <c r="B95" s="184"/>
      <c r="C95" s="39" t="s">
        <v>195</v>
      </c>
      <c r="D95" s="84">
        <f t="shared" si="40"/>
        <v>0</v>
      </c>
      <c r="E95" s="84">
        <f t="shared" si="41"/>
        <v>0</v>
      </c>
      <c r="F95" s="181"/>
      <c r="G95" s="79"/>
      <c r="H95" s="78"/>
      <c r="I95" s="79"/>
      <c r="J95" s="78"/>
      <c r="K95" s="78"/>
      <c r="L95" s="78"/>
      <c r="M95" s="79"/>
    </row>
    <row r="96" spans="2:13" outlineLevel="1">
      <c r="B96" s="184" t="s">
        <v>29</v>
      </c>
      <c r="C96" s="39" t="s">
        <v>30</v>
      </c>
      <c r="D96" s="84">
        <f t="shared" ref="D96:D104" si="42">ROUND(AVERAGE(F96,H96,SUM(J96,L96)),3)</f>
        <v>0</v>
      </c>
      <c r="E96" s="84">
        <f t="shared" ref="E96:E104" si="43">ROUND(AVERAGE(G96,I96,SUM(K96,M96)),3)</f>
        <v>0</v>
      </c>
      <c r="F96" s="180">
        <f>SUM(F97:F104)</f>
        <v>0</v>
      </c>
      <c r="G96" s="180">
        <f t="shared" ref="G96" si="44">SUM(G97:G104)</f>
        <v>0</v>
      </c>
      <c r="H96" s="180">
        <f t="shared" ref="H96" si="45">SUM(H97:H104)</f>
        <v>0</v>
      </c>
      <c r="I96" s="180">
        <f t="shared" ref="I96" si="46">SUM(I97:I104)</f>
        <v>0</v>
      </c>
      <c r="J96" s="180">
        <f t="shared" ref="J96" si="47">SUM(J97:J104)</f>
        <v>0</v>
      </c>
      <c r="K96" s="180">
        <f t="shared" ref="K96" si="48">SUM(K97:K104)</f>
        <v>0</v>
      </c>
      <c r="L96" s="180">
        <f t="shared" ref="L96" si="49">SUM(L97:L104)</f>
        <v>0</v>
      </c>
      <c r="M96" s="180">
        <f t="shared" ref="M96" si="50">SUM(M97:M104)</f>
        <v>0</v>
      </c>
    </row>
    <row r="97" spans="2:13" outlineLevel="1">
      <c r="B97" s="184"/>
      <c r="C97" s="39" t="s">
        <v>196</v>
      </c>
      <c r="D97" s="84">
        <f t="shared" si="42"/>
        <v>0</v>
      </c>
      <c r="E97" s="84">
        <f t="shared" si="43"/>
        <v>0</v>
      </c>
      <c r="F97" s="181"/>
      <c r="G97" s="79"/>
      <c r="H97" s="78"/>
      <c r="I97" s="79"/>
      <c r="J97" s="78"/>
      <c r="K97" s="78"/>
      <c r="L97" s="78"/>
      <c r="M97" s="79"/>
    </row>
    <row r="98" spans="2:13" outlineLevel="1">
      <c r="B98" s="184"/>
      <c r="C98" s="39" t="s">
        <v>197</v>
      </c>
      <c r="D98" s="84">
        <f t="shared" si="42"/>
        <v>0</v>
      </c>
      <c r="E98" s="84">
        <f t="shared" si="43"/>
        <v>0</v>
      </c>
      <c r="F98" s="181"/>
      <c r="G98" s="79"/>
      <c r="H98" s="78"/>
      <c r="I98" s="79"/>
      <c r="J98" s="78"/>
      <c r="K98" s="78"/>
      <c r="L98" s="78"/>
      <c r="M98" s="79"/>
    </row>
    <row r="99" spans="2:13" outlineLevel="1">
      <c r="B99" s="184"/>
      <c r="C99" s="39" t="s">
        <v>198</v>
      </c>
      <c r="D99" s="84">
        <f t="shared" si="42"/>
        <v>0</v>
      </c>
      <c r="E99" s="84">
        <f t="shared" si="43"/>
        <v>0</v>
      </c>
      <c r="F99" s="181"/>
      <c r="G99" s="79"/>
      <c r="H99" s="78"/>
      <c r="I99" s="79"/>
      <c r="J99" s="78"/>
      <c r="K99" s="78"/>
      <c r="L99" s="78"/>
      <c r="M99" s="79"/>
    </row>
    <row r="100" spans="2:13" outlineLevel="1">
      <c r="B100" s="184"/>
      <c r="C100" s="39" t="s">
        <v>199</v>
      </c>
      <c r="D100" s="84">
        <f t="shared" si="42"/>
        <v>0</v>
      </c>
      <c r="E100" s="84">
        <f t="shared" si="43"/>
        <v>0</v>
      </c>
      <c r="F100" s="181"/>
      <c r="G100" s="79"/>
      <c r="H100" s="78"/>
      <c r="I100" s="79"/>
      <c r="J100" s="78"/>
      <c r="K100" s="78"/>
      <c r="L100" s="78"/>
      <c r="M100" s="79"/>
    </row>
    <row r="101" spans="2:13" outlineLevel="1">
      <c r="B101" s="184"/>
      <c r="C101" s="39" t="s">
        <v>200</v>
      </c>
      <c r="D101" s="84">
        <f t="shared" si="42"/>
        <v>0</v>
      </c>
      <c r="E101" s="84">
        <f t="shared" si="43"/>
        <v>0</v>
      </c>
      <c r="F101" s="181"/>
      <c r="G101" s="79"/>
      <c r="H101" s="78"/>
      <c r="I101" s="79"/>
      <c r="J101" s="78"/>
      <c r="K101" s="78"/>
      <c r="L101" s="78"/>
      <c r="M101" s="79"/>
    </row>
    <row r="102" spans="2:13" outlineLevel="1">
      <c r="B102" s="184"/>
      <c r="C102" s="39" t="s">
        <v>201</v>
      </c>
      <c r="D102" s="84">
        <f t="shared" si="42"/>
        <v>0</v>
      </c>
      <c r="E102" s="84">
        <f t="shared" si="43"/>
        <v>0</v>
      </c>
      <c r="F102" s="181"/>
      <c r="G102" s="79"/>
      <c r="H102" s="78"/>
      <c r="I102" s="79"/>
      <c r="J102" s="78"/>
      <c r="K102" s="78"/>
      <c r="L102" s="78"/>
      <c r="M102" s="79"/>
    </row>
    <row r="103" spans="2:13" outlineLevel="1">
      <c r="B103" s="184"/>
      <c r="C103" s="39" t="s">
        <v>202</v>
      </c>
      <c r="D103" s="84">
        <f t="shared" si="42"/>
        <v>0</v>
      </c>
      <c r="E103" s="84">
        <f t="shared" si="43"/>
        <v>0</v>
      </c>
      <c r="F103" s="181"/>
      <c r="G103" s="79"/>
      <c r="H103" s="78"/>
      <c r="I103" s="79"/>
      <c r="J103" s="78"/>
      <c r="K103" s="78"/>
      <c r="L103" s="78"/>
      <c r="M103" s="79"/>
    </row>
    <row r="104" spans="2:13" outlineLevel="1">
      <c r="B104" s="184"/>
      <c r="C104" s="39" t="s">
        <v>203</v>
      </c>
      <c r="D104" s="84">
        <f t="shared" si="42"/>
        <v>0</v>
      </c>
      <c r="E104" s="84">
        <f t="shared" si="43"/>
        <v>0</v>
      </c>
      <c r="F104" s="181"/>
      <c r="G104" s="79"/>
      <c r="H104" s="78"/>
      <c r="I104" s="79"/>
      <c r="J104" s="78"/>
      <c r="K104" s="78"/>
      <c r="L104" s="78"/>
      <c r="M104" s="79"/>
    </row>
    <row r="105" spans="2:13" outlineLevel="1">
      <c r="B105" s="184" t="s">
        <v>31</v>
      </c>
      <c r="C105" s="39" t="s">
        <v>44</v>
      </c>
      <c r="D105" s="84">
        <f t="shared" ref="D105:D107" si="51">ROUND(AVERAGE(F105,H105,SUM(J105,L105)),3)</f>
        <v>0</v>
      </c>
      <c r="E105" s="84">
        <f t="shared" ref="E105:E107" si="52">ROUND(AVERAGE(G105,I105,SUM(K105,M105)),3)</f>
        <v>0</v>
      </c>
      <c r="F105" s="180">
        <f>SUM(F106:F107)</f>
        <v>0</v>
      </c>
      <c r="G105" s="180">
        <f t="shared" ref="G105" si="53">SUM(G106:G107)</f>
        <v>0</v>
      </c>
      <c r="H105" s="180">
        <f t="shared" ref="H105" si="54">SUM(H106:H107)</f>
        <v>0</v>
      </c>
      <c r="I105" s="180">
        <f t="shared" ref="I105" si="55">SUM(I106:I107)</f>
        <v>0</v>
      </c>
      <c r="J105" s="180">
        <f t="shared" ref="J105" si="56">SUM(J106:J107)</f>
        <v>0</v>
      </c>
      <c r="K105" s="180">
        <f t="shared" ref="K105" si="57">SUM(K106:K107)</f>
        <v>0</v>
      </c>
      <c r="L105" s="180">
        <f t="shared" ref="L105" si="58">SUM(L106:L107)</f>
        <v>0</v>
      </c>
      <c r="M105" s="180">
        <f t="shared" ref="M105" si="59">SUM(M106:M107)</f>
        <v>0</v>
      </c>
    </row>
    <row r="106" spans="2:13" outlineLevel="1">
      <c r="B106" s="184"/>
      <c r="C106" s="39" t="s">
        <v>204</v>
      </c>
      <c r="D106" s="84">
        <f t="shared" si="51"/>
        <v>0</v>
      </c>
      <c r="E106" s="84">
        <f t="shared" si="52"/>
        <v>0</v>
      </c>
      <c r="F106" s="78"/>
      <c r="G106" s="79"/>
      <c r="H106" s="78"/>
      <c r="I106" s="79"/>
      <c r="J106" s="79"/>
      <c r="K106" s="79"/>
      <c r="L106" s="79"/>
      <c r="M106" s="79"/>
    </row>
    <row r="107" spans="2:13" outlineLevel="1">
      <c r="B107" s="184"/>
      <c r="C107" s="39" t="s">
        <v>205</v>
      </c>
      <c r="D107" s="84">
        <f t="shared" si="51"/>
        <v>0</v>
      </c>
      <c r="E107" s="84">
        <f t="shared" si="52"/>
        <v>0</v>
      </c>
      <c r="F107" s="78"/>
      <c r="G107" s="79"/>
      <c r="H107" s="78"/>
      <c r="I107" s="79"/>
      <c r="J107" s="79"/>
      <c r="K107" s="79"/>
      <c r="L107" s="79"/>
      <c r="M107" s="79"/>
    </row>
    <row r="108" spans="2:13" ht="48" outlineLevel="1">
      <c r="B108" s="184" t="s">
        <v>32</v>
      </c>
      <c r="C108" s="39" t="s">
        <v>33</v>
      </c>
      <c r="D108" s="170"/>
      <c r="E108" s="170"/>
      <c r="F108" s="80"/>
      <c r="G108" s="81"/>
      <c r="H108" s="80"/>
      <c r="I108" s="81"/>
      <c r="J108" s="80"/>
      <c r="K108" s="81"/>
      <c r="L108" s="81"/>
      <c r="M108" s="81"/>
    </row>
    <row r="109" spans="2:13" outlineLevel="1">
      <c r="B109" s="184"/>
      <c r="C109" s="39" t="s">
        <v>55</v>
      </c>
      <c r="D109" s="84">
        <f>'Факт ПС за 3 года'!Q43</f>
        <v>0</v>
      </c>
      <c r="E109" s="84">
        <f>'Факт ПС за 3 года'!R43</f>
        <v>0</v>
      </c>
      <c r="F109" s="80"/>
      <c r="G109" s="80"/>
      <c r="H109" s="80"/>
      <c r="I109" s="80"/>
      <c r="J109" s="80"/>
      <c r="K109" s="80"/>
      <c r="L109" s="80"/>
      <c r="M109" s="80"/>
    </row>
    <row r="110" spans="2:13" outlineLevel="1">
      <c r="B110" s="184"/>
      <c r="C110" s="39" t="s">
        <v>206</v>
      </c>
      <c r="D110" s="84">
        <f>'Факт ПС за 3 года'!Q44</f>
        <v>0</v>
      </c>
      <c r="E110" s="84">
        <f>'Факт ПС за 3 года'!R44</f>
        <v>0</v>
      </c>
      <c r="F110" s="80"/>
      <c r="G110" s="81"/>
      <c r="H110" s="80"/>
      <c r="I110" s="81"/>
      <c r="J110" s="80"/>
      <c r="K110" s="81"/>
      <c r="L110" s="81"/>
      <c r="M110" s="81"/>
    </row>
    <row r="111" spans="2:13" outlineLevel="1">
      <c r="B111" s="184"/>
      <c r="C111" s="39" t="s">
        <v>54</v>
      </c>
      <c r="D111" s="84">
        <f>'Факт ПС за 3 года'!Q45</f>
        <v>0</v>
      </c>
      <c r="E111" s="84">
        <f>'Факт ПС за 3 года'!R45</f>
        <v>0</v>
      </c>
      <c r="F111" s="80"/>
      <c r="G111" s="81"/>
      <c r="H111" s="80"/>
      <c r="I111" s="81"/>
      <c r="J111" s="80"/>
      <c r="K111" s="81"/>
      <c r="L111" s="81"/>
      <c r="M111" s="81"/>
    </row>
    <row r="112" spans="2:13" outlineLevel="1">
      <c r="B112" s="184"/>
      <c r="C112" s="39" t="s">
        <v>45</v>
      </c>
      <c r="D112" s="84">
        <f>'Факт ПС за 3 года'!Q46</f>
        <v>0</v>
      </c>
      <c r="E112" s="84">
        <f>'Факт ПС за 3 года'!R46</f>
        <v>0</v>
      </c>
      <c r="F112" s="80"/>
      <c r="G112" s="81"/>
      <c r="H112" s="80"/>
      <c r="I112" s="81"/>
      <c r="J112" s="80"/>
      <c r="K112" s="81"/>
      <c r="L112" s="81"/>
      <c r="M112" s="81"/>
    </row>
    <row r="113" spans="2:13" outlineLevel="1">
      <c r="B113" s="184"/>
      <c r="C113" s="39" t="s">
        <v>46</v>
      </c>
      <c r="D113" s="84">
        <f>'Факт ПС за 3 года'!Q47</f>
        <v>0</v>
      </c>
      <c r="E113" s="84">
        <f>'Факт ПС за 3 года'!R47</f>
        <v>0</v>
      </c>
      <c r="F113" s="80"/>
      <c r="G113" s="80"/>
      <c r="H113" s="80"/>
      <c r="I113" s="80"/>
      <c r="J113" s="80"/>
      <c r="K113" s="80"/>
      <c r="L113" s="80"/>
      <c r="M113" s="80"/>
    </row>
    <row r="114" spans="2:13" outlineLevel="1">
      <c r="B114" s="184"/>
      <c r="C114" s="39" t="s">
        <v>47</v>
      </c>
      <c r="D114" s="84">
        <f>'Факт ПС за 3 года'!Q48</f>
        <v>0</v>
      </c>
      <c r="E114" s="84">
        <f>'Факт ПС за 3 года'!R48</f>
        <v>0</v>
      </c>
      <c r="F114" s="159"/>
      <c r="G114" s="163"/>
      <c r="H114" s="159"/>
      <c r="I114" s="163"/>
      <c r="J114" s="159"/>
      <c r="K114" s="163"/>
      <c r="L114" s="163"/>
      <c r="M114" s="163"/>
    </row>
    <row r="115" spans="2:13" outlineLevel="1">
      <c r="B115" s="184"/>
      <c r="C115" s="39" t="s">
        <v>207</v>
      </c>
      <c r="D115" s="84">
        <f>'Факт ПС за 3 года'!Q49</f>
        <v>0</v>
      </c>
      <c r="E115" s="84">
        <f>'Факт ПС за 3 года'!R49</f>
        <v>0</v>
      </c>
      <c r="F115" s="159"/>
      <c r="G115" s="163"/>
      <c r="H115" s="159"/>
      <c r="I115" s="163"/>
      <c r="J115" s="159"/>
      <c r="K115" s="163"/>
      <c r="L115" s="163"/>
      <c r="M115" s="163"/>
    </row>
    <row r="116" spans="2:13" outlineLevel="1">
      <c r="B116" s="184"/>
      <c r="C116" s="39" t="s">
        <v>208</v>
      </c>
      <c r="D116" s="84">
        <f>'Факт ПС за 3 года'!Q50</f>
        <v>0</v>
      </c>
      <c r="E116" s="84">
        <f>'Факт ПС за 3 года'!R50</f>
        <v>0</v>
      </c>
      <c r="F116" s="159"/>
      <c r="G116" s="163"/>
      <c r="H116" s="159"/>
      <c r="I116" s="163"/>
      <c r="J116" s="159"/>
      <c r="K116" s="163"/>
      <c r="L116" s="163"/>
      <c r="M116" s="163"/>
    </row>
    <row r="117" spans="2:13" outlineLevel="1">
      <c r="B117" s="184"/>
      <c r="C117" s="39" t="s">
        <v>59</v>
      </c>
      <c r="D117" s="84">
        <f>'Факт ПС за 3 года'!Q51</f>
        <v>0</v>
      </c>
      <c r="E117" s="84">
        <f>'Факт ПС за 3 года'!R51</f>
        <v>0</v>
      </c>
      <c r="F117" s="159"/>
      <c r="G117" s="163"/>
      <c r="H117" s="159"/>
      <c r="I117" s="163"/>
      <c r="J117" s="159"/>
      <c r="K117" s="163"/>
      <c r="L117" s="163"/>
      <c r="M117" s="163"/>
    </row>
    <row r="118" spans="2:13" outlineLevel="1">
      <c r="B118" s="184"/>
      <c r="C118" s="39" t="s">
        <v>60</v>
      </c>
      <c r="D118" s="84">
        <f>'Факт ПС за 3 года'!Q52</f>
        <v>0</v>
      </c>
      <c r="E118" s="84">
        <f>'Факт ПС за 3 года'!R52</f>
        <v>0</v>
      </c>
      <c r="F118" s="159"/>
      <c r="G118" s="163"/>
      <c r="H118" s="159"/>
      <c r="I118" s="163"/>
      <c r="J118" s="159"/>
      <c r="K118" s="163"/>
      <c r="L118" s="163"/>
      <c r="M118" s="163"/>
    </row>
    <row r="119" spans="2:13" outlineLevel="1">
      <c r="B119" s="184"/>
      <c r="C119" s="39" t="s">
        <v>61</v>
      </c>
      <c r="D119" s="84">
        <f>'Факт ПС за 3 года'!Q53</f>
        <v>0</v>
      </c>
      <c r="E119" s="84">
        <f>'Факт ПС за 3 года'!R53</f>
        <v>0</v>
      </c>
      <c r="F119" s="80"/>
      <c r="G119" s="81"/>
      <c r="H119" s="80"/>
      <c r="I119" s="81"/>
      <c r="J119" s="80"/>
      <c r="K119" s="81"/>
      <c r="L119" s="81"/>
      <c r="M119" s="81"/>
    </row>
    <row r="120" spans="2:13" outlineLevel="1">
      <c r="B120" s="184"/>
      <c r="C120" s="39" t="s">
        <v>209</v>
      </c>
      <c r="D120" s="84">
        <f>'Факт ПС за 3 года'!Q54</f>
        <v>0</v>
      </c>
      <c r="E120" s="84">
        <f>'Факт ПС за 3 года'!R54</f>
        <v>0</v>
      </c>
      <c r="F120" s="80"/>
      <c r="G120" s="81"/>
      <c r="H120" s="80"/>
      <c r="I120" s="81"/>
      <c r="J120" s="80"/>
      <c r="K120" s="81"/>
      <c r="L120" s="81"/>
      <c r="M120" s="81"/>
    </row>
    <row r="121" spans="2:13" outlineLevel="1">
      <c r="B121" s="184"/>
      <c r="C121" s="39" t="s">
        <v>210</v>
      </c>
      <c r="D121" s="84">
        <f>'Факт ПС за 3 года'!Q55</f>
        <v>0</v>
      </c>
      <c r="E121" s="84">
        <f>'Факт ПС за 3 года'!R55</f>
        <v>0</v>
      </c>
      <c r="F121" s="80"/>
      <c r="G121" s="81"/>
      <c r="H121" s="80"/>
      <c r="I121" s="81"/>
      <c r="J121" s="80"/>
      <c r="K121" s="81"/>
      <c r="L121" s="81"/>
      <c r="M121" s="81"/>
    </row>
    <row r="122" spans="2:13" outlineLevel="1">
      <c r="B122" s="184"/>
      <c r="C122" s="39" t="s">
        <v>211</v>
      </c>
      <c r="D122" s="84">
        <f>'Факт ПС за 3 года'!Q56</f>
        <v>0</v>
      </c>
      <c r="E122" s="84">
        <f>'Факт ПС за 3 года'!R56</f>
        <v>0</v>
      </c>
      <c r="F122" s="160"/>
      <c r="G122" s="160"/>
      <c r="H122" s="204"/>
      <c r="I122" s="204"/>
      <c r="J122" s="204"/>
      <c r="K122" s="204"/>
      <c r="L122" s="204"/>
      <c r="M122" s="204"/>
    </row>
    <row r="123" spans="2:13" outlineLevel="1">
      <c r="B123" s="184"/>
      <c r="C123" s="39" t="s">
        <v>212</v>
      </c>
      <c r="D123" s="84">
        <f>'Факт ПС за 3 года'!Q57</f>
        <v>0</v>
      </c>
      <c r="E123" s="84">
        <f>'Факт ПС за 3 года'!R57</f>
        <v>0</v>
      </c>
      <c r="F123" s="160"/>
      <c r="G123" s="160"/>
      <c r="H123" s="204"/>
      <c r="I123" s="204"/>
      <c r="J123" s="204"/>
      <c r="K123" s="204"/>
      <c r="L123" s="204"/>
      <c r="M123" s="204"/>
    </row>
    <row r="124" spans="2:13" ht="24" outlineLevel="1">
      <c r="B124" s="184" t="s">
        <v>34</v>
      </c>
      <c r="C124" s="39" t="s">
        <v>35</v>
      </c>
      <c r="D124" s="84">
        <f t="shared" ref="D124" si="60">ROUND(AVERAGE(F124,H124,SUM(J124,L124)),3)</f>
        <v>0</v>
      </c>
      <c r="E124" s="84">
        <f t="shared" ref="E124" si="61">ROUND(AVERAGE(G124,I124,SUM(K124,M124)),3)</f>
        <v>0</v>
      </c>
      <c r="F124" s="78"/>
      <c r="G124" s="79"/>
      <c r="H124" s="78"/>
      <c r="I124" s="79"/>
      <c r="J124" s="79"/>
      <c r="K124" s="79"/>
      <c r="L124" s="79"/>
      <c r="M124" s="79"/>
    </row>
    <row r="125" spans="2:13" outlineLevel="1">
      <c r="B125" s="260" t="s">
        <v>48</v>
      </c>
      <c r="C125" s="260"/>
      <c r="D125" s="160"/>
      <c r="E125" s="160"/>
      <c r="F125" s="160"/>
      <c r="G125" s="160"/>
      <c r="H125" s="204"/>
      <c r="I125" s="204"/>
      <c r="J125" s="204"/>
      <c r="K125" s="204"/>
      <c r="L125" s="204"/>
      <c r="M125" s="204"/>
    </row>
    <row r="126" spans="2:13" outlineLevel="1">
      <c r="B126" s="184" t="s">
        <v>49</v>
      </c>
      <c r="C126" s="39" t="s">
        <v>28</v>
      </c>
      <c r="D126" s="84">
        <f t="shared" ref="D126" si="62">ROUND(AVERAGE(F126,H126,SUM(J126,L126)),3)</f>
        <v>0</v>
      </c>
      <c r="E126" s="84">
        <f t="shared" ref="E126" si="63">ROUND(AVERAGE(G126,I126,SUM(K126,M126)),3)</f>
        <v>0</v>
      </c>
      <c r="F126" s="180">
        <f>SUM(F127:F132)</f>
        <v>0</v>
      </c>
      <c r="G126" s="180">
        <f t="shared" ref="G126" si="64">SUM(G127:G132)</f>
        <v>0</v>
      </c>
      <c r="H126" s="180">
        <f t="shared" ref="H126" si="65">SUM(H127:H132)</f>
        <v>0</v>
      </c>
      <c r="I126" s="180">
        <f t="shared" ref="I126" si="66">SUM(I127:I132)</f>
        <v>0</v>
      </c>
      <c r="J126" s="180">
        <f t="shared" ref="J126" si="67">SUM(J127:J132)</f>
        <v>0</v>
      </c>
      <c r="K126" s="180">
        <f t="shared" ref="K126" si="68">SUM(K127:K132)</f>
        <v>0</v>
      </c>
      <c r="L126" s="180">
        <f t="shared" ref="L126" si="69">SUM(L127:L132)</f>
        <v>0</v>
      </c>
      <c r="M126" s="180">
        <f>SUM(M127:M132)</f>
        <v>0</v>
      </c>
    </row>
    <row r="127" spans="2:13" outlineLevel="1">
      <c r="B127" s="184"/>
      <c r="C127" s="39" t="s">
        <v>190</v>
      </c>
      <c r="D127" s="84">
        <f t="shared" ref="D127:D144" si="70">ROUND(AVERAGE(F127,H127,SUM(J127,L127)),3)</f>
        <v>0</v>
      </c>
      <c r="E127" s="84">
        <f t="shared" ref="E127:E144" si="71">ROUND(AVERAGE(G127,I127,SUM(K127,M127)),3)</f>
        <v>0</v>
      </c>
      <c r="F127" s="181"/>
      <c r="G127" s="79"/>
      <c r="H127" s="78"/>
      <c r="I127" s="79"/>
      <c r="J127" s="78"/>
      <c r="K127" s="78"/>
      <c r="L127" s="78"/>
      <c r="M127" s="79"/>
    </row>
    <row r="128" spans="2:13" outlineLevel="1">
      <c r="B128" s="184"/>
      <c r="C128" s="39" t="s">
        <v>191</v>
      </c>
      <c r="D128" s="84">
        <f t="shared" si="70"/>
        <v>0</v>
      </c>
      <c r="E128" s="84">
        <f t="shared" si="71"/>
        <v>0</v>
      </c>
      <c r="F128" s="181"/>
      <c r="G128" s="79"/>
      <c r="H128" s="78"/>
      <c r="I128" s="79"/>
      <c r="J128" s="78"/>
      <c r="K128" s="78"/>
      <c r="L128" s="78"/>
      <c r="M128" s="79"/>
    </row>
    <row r="129" spans="2:13" outlineLevel="1">
      <c r="B129" s="184"/>
      <c r="C129" s="39" t="s">
        <v>192</v>
      </c>
      <c r="D129" s="84">
        <f t="shared" si="70"/>
        <v>0</v>
      </c>
      <c r="E129" s="84">
        <f t="shared" si="71"/>
        <v>0</v>
      </c>
      <c r="F129" s="181"/>
      <c r="G129" s="79"/>
      <c r="H129" s="78"/>
      <c r="I129" s="79"/>
      <c r="J129" s="78"/>
      <c r="K129" s="78"/>
      <c r="L129" s="78"/>
      <c r="M129" s="79"/>
    </row>
    <row r="130" spans="2:13" outlineLevel="1">
      <c r="B130" s="184"/>
      <c r="C130" s="39" t="s">
        <v>193</v>
      </c>
      <c r="D130" s="84">
        <f t="shared" si="70"/>
        <v>0</v>
      </c>
      <c r="E130" s="84">
        <f t="shared" si="71"/>
        <v>0</v>
      </c>
      <c r="F130" s="181"/>
      <c r="G130" s="79"/>
      <c r="H130" s="78"/>
      <c r="I130" s="79"/>
      <c r="J130" s="78"/>
      <c r="K130" s="78"/>
      <c r="L130" s="78"/>
      <c r="M130" s="79"/>
    </row>
    <row r="131" spans="2:13" outlineLevel="1">
      <c r="B131" s="184"/>
      <c r="C131" s="39" t="s">
        <v>194</v>
      </c>
      <c r="D131" s="84">
        <f t="shared" si="70"/>
        <v>0</v>
      </c>
      <c r="E131" s="84">
        <f t="shared" si="71"/>
        <v>0</v>
      </c>
      <c r="F131" s="181"/>
      <c r="G131" s="79"/>
      <c r="H131" s="78"/>
      <c r="I131" s="79"/>
      <c r="J131" s="78"/>
      <c r="K131" s="78"/>
      <c r="L131" s="78"/>
      <c r="M131" s="79"/>
    </row>
    <row r="132" spans="2:13" outlineLevel="1">
      <c r="B132" s="184"/>
      <c r="C132" s="39" t="s">
        <v>195</v>
      </c>
      <c r="D132" s="84">
        <f t="shared" si="70"/>
        <v>0</v>
      </c>
      <c r="E132" s="84">
        <f t="shared" si="71"/>
        <v>0</v>
      </c>
      <c r="F132" s="181"/>
      <c r="G132" s="79"/>
      <c r="H132" s="78"/>
      <c r="I132" s="79"/>
      <c r="J132" s="78"/>
      <c r="K132" s="78"/>
      <c r="L132" s="78"/>
      <c r="M132" s="79"/>
    </row>
    <row r="133" spans="2:13" outlineLevel="1">
      <c r="B133" s="184" t="s">
        <v>50</v>
      </c>
      <c r="C133" s="39" t="s">
        <v>30</v>
      </c>
      <c r="D133" s="84">
        <f t="shared" si="70"/>
        <v>0</v>
      </c>
      <c r="E133" s="84">
        <f t="shared" si="71"/>
        <v>0</v>
      </c>
      <c r="F133" s="180">
        <f>SUM(F134:F141)</f>
        <v>0</v>
      </c>
      <c r="G133" s="180">
        <f t="shared" ref="G133" si="72">SUM(G134:G141)</f>
        <v>0</v>
      </c>
      <c r="H133" s="180">
        <f t="shared" ref="H133" si="73">SUM(H134:H141)</f>
        <v>0</v>
      </c>
      <c r="I133" s="180">
        <f t="shared" ref="I133" si="74">SUM(I134:I141)</f>
        <v>0</v>
      </c>
      <c r="J133" s="180">
        <f t="shared" ref="J133" si="75">SUM(J134:J141)</f>
        <v>0</v>
      </c>
      <c r="K133" s="180">
        <f t="shared" ref="K133" si="76">SUM(K134:K141)</f>
        <v>0</v>
      </c>
      <c r="L133" s="180">
        <f t="shared" ref="L133" si="77">SUM(L134:L141)</f>
        <v>0</v>
      </c>
      <c r="M133" s="180">
        <f t="shared" ref="M133" si="78">SUM(M134:M141)</f>
        <v>0</v>
      </c>
    </row>
    <row r="134" spans="2:13" outlineLevel="1">
      <c r="B134" s="184"/>
      <c r="C134" s="39" t="s">
        <v>196</v>
      </c>
      <c r="D134" s="84">
        <f t="shared" si="70"/>
        <v>0</v>
      </c>
      <c r="E134" s="84">
        <f t="shared" si="71"/>
        <v>0</v>
      </c>
      <c r="F134" s="181"/>
      <c r="G134" s="79"/>
      <c r="H134" s="78"/>
      <c r="I134" s="79"/>
      <c r="J134" s="78"/>
      <c r="K134" s="78"/>
      <c r="L134" s="78"/>
      <c r="M134" s="79"/>
    </row>
    <row r="135" spans="2:13" outlineLevel="1">
      <c r="B135" s="184"/>
      <c r="C135" s="39" t="s">
        <v>197</v>
      </c>
      <c r="D135" s="84">
        <f t="shared" si="70"/>
        <v>0</v>
      </c>
      <c r="E135" s="84">
        <f t="shared" si="71"/>
        <v>0</v>
      </c>
      <c r="F135" s="181"/>
      <c r="G135" s="79"/>
      <c r="H135" s="78"/>
      <c r="I135" s="79"/>
      <c r="J135" s="78"/>
      <c r="K135" s="78"/>
      <c r="L135" s="78"/>
      <c r="M135" s="79"/>
    </row>
    <row r="136" spans="2:13" outlineLevel="1">
      <c r="B136" s="184"/>
      <c r="C136" s="39" t="s">
        <v>198</v>
      </c>
      <c r="D136" s="84">
        <f t="shared" si="70"/>
        <v>0</v>
      </c>
      <c r="E136" s="84">
        <f t="shared" si="71"/>
        <v>0</v>
      </c>
      <c r="F136" s="181"/>
      <c r="G136" s="79"/>
      <c r="H136" s="78"/>
      <c r="I136" s="79"/>
      <c r="J136" s="78"/>
      <c r="K136" s="78"/>
      <c r="L136" s="78"/>
      <c r="M136" s="79"/>
    </row>
    <row r="137" spans="2:13" outlineLevel="1">
      <c r="B137" s="184"/>
      <c r="C137" s="39" t="s">
        <v>199</v>
      </c>
      <c r="D137" s="84">
        <f t="shared" si="70"/>
        <v>0</v>
      </c>
      <c r="E137" s="84">
        <f t="shared" si="71"/>
        <v>0</v>
      </c>
      <c r="F137" s="181"/>
      <c r="G137" s="79"/>
      <c r="H137" s="78"/>
      <c r="I137" s="79"/>
      <c r="J137" s="78"/>
      <c r="K137" s="78"/>
      <c r="L137" s="78"/>
      <c r="M137" s="79"/>
    </row>
    <row r="138" spans="2:13" outlineLevel="1">
      <c r="B138" s="184"/>
      <c r="C138" s="39" t="s">
        <v>200</v>
      </c>
      <c r="D138" s="84">
        <f t="shared" si="70"/>
        <v>0</v>
      </c>
      <c r="E138" s="84">
        <f t="shared" si="71"/>
        <v>0</v>
      </c>
      <c r="F138" s="181"/>
      <c r="G138" s="79"/>
      <c r="H138" s="78"/>
      <c r="I138" s="79"/>
      <c r="J138" s="78"/>
      <c r="K138" s="78"/>
      <c r="L138" s="78"/>
      <c r="M138" s="79"/>
    </row>
    <row r="139" spans="2:13" outlineLevel="1">
      <c r="B139" s="184"/>
      <c r="C139" s="39" t="s">
        <v>201</v>
      </c>
      <c r="D139" s="84">
        <f t="shared" si="70"/>
        <v>0</v>
      </c>
      <c r="E139" s="84">
        <f t="shared" si="71"/>
        <v>0</v>
      </c>
      <c r="F139" s="181"/>
      <c r="G139" s="79"/>
      <c r="H139" s="78"/>
      <c r="I139" s="79"/>
      <c r="J139" s="78"/>
      <c r="K139" s="78"/>
      <c r="L139" s="78"/>
      <c r="M139" s="79"/>
    </row>
    <row r="140" spans="2:13" outlineLevel="1">
      <c r="B140" s="184"/>
      <c r="C140" s="39" t="s">
        <v>202</v>
      </c>
      <c r="D140" s="84">
        <f t="shared" si="70"/>
        <v>0</v>
      </c>
      <c r="E140" s="84">
        <f t="shared" si="71"/>
        <v>0</v>
      </c>
      <c r="F140" s="181"/>
      <c r="G140" s="79"/>
      <c r="H140" s="78"/>
      <c r="I140" s="79"/>
      <c r="J140" s="78"/>
      <c r="K140" s="78"/>
      <c r="L140" s="78"/>
      <c r="M140" s="79"/>
    </row>
    <row r="141" spans="2:13" outlineLevel="1">
      <c r="B141" s="184"/>
      <c r="C141" s="39" t="s">
        <v>203</v>
      </c>
      <c r="D141" s="84">
        <f t="shared" si="70"/>
        <v>0</v>
      </c>
      <c r="E141" s="84">
        <f t="shared" si="71"/>
        <v>0</v>
      </c>
      <c r="F141" s="181"/>
      <c r="G141" s="79"/>
      <c r="H141" s="78"/>
      <c r="I141" s="79"/>
      <c r="J141" s="78"/>
      <c r="K141" s="78"/>
      <c r="L141" s="78"/>
      <c r="M141" s="79"/>
    </row>
    <row r="142" spans="2:13" outlineLevel="1">
      <c r="B142" s="184" t="s">
        <v>51</v>
      </c>
      <c r="C142" s="39" t="s">
        <v>44</v>
      </c>
      <c r="D142" s="84">
        <f>ROUND(AVERAGE(F142,H142,SUM(J142,L142)),3)</f>
        <v>0</v>
      </c>
      <c r="E142" s="84">
        <f t="shared" si="71"/>
        <v>0</v>
      </c>
      <c r="F142" s="180">
        <f>SUM(F143:F144)</f>
        <v>0</v>
      </c>
      <c r="G142" s="180">
        <f t="shared" ref="G142" si="79">SUM(G143:G144)</f>
        <v>0</v>
      </c>
      <c r="H142" s="180">
        <f t="shared" ref="H142" si="80">SUM(H143:H144)</f>
        <v>0</v>
      </c>
      <c r="I142" s="180">
        <f t="shared" ref="I142" si="81">SUM(I143:I144)</f>
        <v>0</v>
      </c>
      <c r="J142" s="180">
        <f t="shared" ref="J142" si="82">SUM(J143:J144)</f>
        <v>0</v>
      </c>
      <c r="K142" s="180">
        <f t="shared" ref="K142" si="83">SUM(K143:K144)</f>
        <v>0</v>
      </c>
      <c r="L142" s="180">
        <f t="shared" ref="L142" si="84">SUM(L143:L144)</f>
        <v>0</v>
      </c>
      <c r="M142" s="180">
        <f t="shared" ref="M142" si="85">SUM(M143:M144)</f>
        <v>0</v>
      </c>
    </row>
    <row r="143" spans="2:13" outlineLevel="1">
      <c r="B143" s="184"/>
      <c r="C143" s="39" t="s">
        <v>204</v>
      </c>
      <c r="D143" s="84">
        <f>ROUND(AVERAGE(F143,H143,SUM(J143,L143)),3)</f>
        <v>0</v>
      </c>
      <c r="E143" s="84">
        <f t="shared" si="71"/>
        <v>0</v>
      </c>
      <c r="F143" s="78"/>
      <c r="G143" s="79"/>
      <c r="H143" s="78"/>
      <c r="I143" s="79"/>
      <c r="J143" s="79"/>
      <c r="K143" s="79"/>
      <c r="L143" s="79"/>
      <c r="M143" s="79"/>
    </row>
    <row r="144" spans="2:13" outlineLevel="1">
      <c r="B144" s="184"/>
      <c r="C144" s="39" t="s">
        <v>205</v>
      </c>
      <c r="D144" s="84">
        <f t="shared" si="70"/>
        <v>0</v>
      </c>
      <c r="E144" s="84">
        <f t="shared" si="71"/>
        <v>0</v>
      </c>
      <c r="F144" s="78"/>
      <c r="G144" s="79"/>
      <c r="H144" s="78"/>
      <c r="I144" s="79"/>
      <c r="J144" s="79"/>
      <c r="K144" s="79"/>
      <c r="L144" s="79"/>
      <c r="M144" s="79"/>
    </row>
    <row r="145" spans="2:13" ht="48" outlineLevel="1">
      <c r="B145" s="184" t="s">
        <v>52</v>
      </c>
      <c r="C145" s="39" t="s">
        <v>33</v>
      </c>
      <c r="D145" s="170"/>
      <c r="E145" s="170"/>
      <c r="F145" s="80"/>
      <c r="G145" s="81"/>
      <c r="H145" s="80"/>
      <c r="I145" s="81"/>
      <c r="J145" s="80"/>
      <c r="K145" s="81"/>
      <c r="L145" s="81"/>
      <c r="M145" s="81"/>
    </row>
    <row r="146" spans="2:13" outlineLevel="1">
      <c r="B146" s="184"/>
      <c r="C146" s="39" t="s">
        <v>55</v>
      </c>
      <c r="D146" s="84">
        <f>'Факт ПС за 3 года'!Q59</f>
        <v>0</v>
      </c>
      <c r="E146" s="84">
        <f>'Факт ПС за 3 года'!R59</f>
        <v>0</v>
      </c>
      <c r="F146" s="80"/>
      <c r="G146" s="80"/>
      <c r="H146" s="80"/>
      <c r="I146" s="80"/>
      <c r="J146" s="80"/>
      <c r="K146" s="80"/>
      <c r="L146" s="80"/>
      <c r="M146" s="80"/>
    </row>
    <row r="147" spans="2:13" outlineLevel="1">
      <c r="B147" s="184"/>
      <c r="C147" s="39" t="s">
        <v>206</v>
      </c>
      <c r="D147" s="84">
        <f>'Факт ПС за 3 года'!Q60</f>
        <v>0</v>
      </c>
      <c r="E147" s="84">
        <f>'Факт ПС за 3 года'!R60</f>
        <v>0</v>
      </c>
      <c r="F147" s="80"/>
      <c r="G147" s="81"/>
      <c r="H147" s="80"/>
      <c r="I147" s="81"/>
      <c r="J147" s="80"/>
      <c r="K147" s="81"/>
      <c r="L147" s="81"/>
      <c r="M147" s="81"/>
    </row>
    <row r="148" spans="2:13" outlineLevel="1">
      <c r="B148" s="184"/>
      <c r="C148" s="39" t="s">
        <v>54</v>
      </c>
      <c r="D148" s="84">
        <f>'Факт ПС за 3 года'!Q61</f>
        <v>0</v>
      </c>
      <c r="E148" s="84">
        <f>'Факт ПС за 3 года'!R61</f>
        <v>0</v>
      </c>
      <c r="F148" s="80"/>
      <c r="G148" s="81"/>
      <c r="H148" s="80"/>
      <c r="I148" s="81"/>
      <c r="J148" s="80"/>
      <c r="K148" s="81"/>
      <c r="L148" s="81"/>
      <c r="M148" s="81"/>
    </row>
    <row r="149" spans="2:13" outlineLevel="1">
      <c r="B149" s="184"/>
      <c r="C149" s="39" t="s">
        <v>45</v>
      </c>
      <c r="D149" s="84">
        <f>'Факт ПС за 3 года'!Q62</f>
        <v>0</v>
      </c>
      <c r="E149" s="84">
        <f>'Факт ПС за 3 года'!R62</f>
        <v>0</v>
      </c>
      <c r="F149" s="80"/>
      <c r="G149" s="81"/>
      <c r="H149" s="80"/>
      <c r="I149" s="81"/>
      <c r="J149" s="80"/>
      <c r="K149" s="81"/>
      <c r="L149" s="81"/>
      <c r="M149" s="81"/>
    </row>
    <row r="150" spans="2:13" outlineLevel="1">
      <c r="B150" s="184"/>
      <c r="C150" s="39" t="s">
        <v>46</v>
      </c>
      <c r="D150" s="84">
        <f>'Факт ПС за 3 года'!Q63</f>
        <v>0</v>
      </c>
      <c r="E150" s="84">
        <f>'Факт ПС за 3 года'!R63</f>
        <v>0</v>
      </c>
      <c r="F150" s="80"/>
      <c r="G150" s="80"/>
      <c r="H150" s="80"/>
      <c r="I150" s="80"/>
      <c r="J150" s="80"/>
      <c r="K150" s="80"/>
      <c r="L150" s="80"/>
      <c r="M150" s="80"/>
    </row>
    <row r="151" spans="2:13" outlineLevel="1">
      <c r="B151" s="184"/>
      <c r="C151" s="39" t="s">
        <v>47</v>
      </c>
      <c r="D151" s="84">
        <f>'Факт ПС за 3 года'!Q64</f>
        <v>0</v>
      </c>
      <c r="E151" s="84">
        <f>'Факт ПС за 3 года'!R64</f>
        <v>0</v>
      </c>
      <c r="F151" s="159"/>
      <c r="G151" s="163"/>
      <c r="H151" s="159"/>
      <c r="I151" s="163"/>
      <c r="J151" s="159"/>
      <c r="K151" s="163"/>
      <c r="L151" s="163"/>
      <c r="M151" s="163"/>
    </row>
    <row r="152" spans="2:13" outlineLevel="1">
      <c r="B152" s="184"/>
      <c r="C152" s="39" t="s">
        <v>207</v>
      </c>
      <c r="D152" s="84">
        <f>'Факт ПС за 3 года'!Q65</f>
        <v>0</v>
      </c>
      <c r="E152" s="84">
        <f>'Факт ПС за 3 года'!R65</f>
        <v>0</v>
      </c>
      <c r="F152" s="159"/>
      <c r="G152" s="163"/>
      <c r="H152" s="159"/>
      <c r="I152" s="163"/>
      <c r="J152" s="159"/>
      <c r="K152" s="163"/>
      <c r="L152" s="163"/>
      <c r="M152" s="163"/>
    </row>
    <row r="153" spans="2:13" outlineLevel="1">
      <c r="B153" s="184"/>
      <c r="C153" s="39" t="s">
        <v>208</v>
      </c>
      <c r="D153" s="84">
        <f>'Факт ПС за 3 года'!Q66</f>
        <v>0</v>
      </c>
      <c r="E153" s="84">
        <f>'Факт ПС за 3 года'!R66</f>
        <v>0</v>
      </c>
      <c r="F153" s="159"/>
      <c r="G153" s="163"/>
      <c r="H153" s="159"/>
      <c r="I153" s="163"/>
      <c r="J153" s="159"/>
      <c r="K153" s="163"/>
      <c r="L153" s="163"/>
      <c r="M153" s="163"/>
    </row>
    <row r="154" spans="2:13" outlineLevel="1">
      <c r="B154" s="184"/>
      <c r="C154" s="39" t="s">
        <v>59</v>
      </c>
      <c r="D154" s="84">
        <f>'Факт ПС за 3 года'!Q67</f>
        <v>0</v>
      </c>
      <c r="E154" s="84">
        <f>'Факт ПС за 3 года'!R67</f>
        <v>0</v>
      </c>
      <c r="F154" s="159"/>
      <c r="G154" s="163"/>
      <c r="H154" s="159"/>
      <c r="I154" s="163"/>
      <c r="J154" s="159"/>
      <c r="K154" s="163"/>
      <c r="L154" s="163"/>
      <c r="M154" s="163"/>
    </row>
    <row r="155" spans="2:13" outlineLevel="1">
      <c r="B155" s="184"/>
      <c r="C155" s="39" t="s">
        <v>60</v>
      </c>
      <c r="D155" s="84">
        <f>'Факт ПС за 3 года'!Q68</f>
        <v>0</v>
      </c>
      <c r="E155" s="84">
        <f>'Факт ПС за 3 года'!R68</f>
        <v>0</v>
      </c>
      <c r="F155" s="159"/>
      <c r="G155" s="163"/>
      <c r="H155" s="159"/>
      <c r="I155" s="163"/>
      <c r="J155" s="159"/>
      <c r="K155" s="163"/>
      <c r="L155" s="163"/>
      <c r="M155" s="163"/>
    </row>
    <row r="156" spans="2:13" outlineLevel="1">
      <c r="B156" s="184"/>
      <c r="C156" s="39" t="s">
        <v>61</v>
      </c>
      <c r="D156" s="84">
        <f>'Факт ПС за 3 года'!Q69</f>
        <v>0</v>
      </c>
      <c r="E156" s="84">
        <f>'Факт ПС за 3 года'!R69</f>
        <v>0</v>
      </c>
      <c r="F156" s="80"/>
      <c r="G156" s="81"/>
      <c r="H156" s="80"/>
      <c r="I156" s="81"/>
      <c r="J156" s="80"/>
      <c r="K156" s="81"/>
      <c r="L156" s="81"/>
      <c r="M156" s="81"/>
    </row>
    <row r="157" spans="2:13" outlineLevel="1">
      <c r="B157" s="184"/>
      <c r="C157" s="39" t="s">
        <v>209</v>
      </c>
      <c r="D157" s="84">
        <f>'Факт ПС за 3 года'!Q70</f>
        <v>0</v>
      </c>
      <c r="E157" s="84">
        <f>'Факт ПС за 3 года'!R70</f>
        <v>0</v>
      </c>
      <c r="F157" s="80"/>
      <c r="G157" s="81"/>
      <c r="H157" s="80"/>
      <c r="I157" s="81"/>
      <c r="J157" s="80"/>
      <c r="K157" s="81"/>
      <c r="L157" s="81"/>
      <c r="M157" s="81"/>
    </row>
    <row r="158" spans="2:13" outlineLevel="1">
      <c r="B158" s="184"/>
      <c r="C158" s="39" t="s">
        <v>210</v>
      </c>
      <c r="D158" s="84">
        <f>'Факт ПС за 3 года'!Q71</f>
        <v>0</v>
      </c>
      <c r="E158" s="84">
        <f>'Факт ПС за 3 года'!R71</f>
        <v>0</v>
      </c>
      <c r="F158" s="80"/>
      <c r="G158" s="81"/>
      <c r="H158" s="80"/>
      <c r="I158" s="81"/>
      <c r="J158" s="80"/>
      <c r="K158" s="81"/>
      <c r="L158" s="81"/>
      <c r="M158" s="81"/>
    </row>
    <row r="159" spans="2:13" outlineLevel="1">
      <c r="B159" s="184"/>
      <c r="C159" s="39" t="s">
        <v>211</v>
      </c>
      <c r="D159" s="84">
        <f>'Факт ПС за 3 года'!Q72</f>
        <v>0</v>
      </c>
      <c r="E159" s="84">
        <f>'Факт ПС за 3 года'!R72</f>
        <v>0</v>
      </c>
      <c r="F159" s="160"/>
      <c r="G159" s="160"/>
      <c r="H159" s="204"/>
      <c r="I159" s="204"/>
      <c r="J159" s="204"/>
      <c r="K159" s="204"/>
      <c r="L159" s="204"/>
      <c r="M159" s="204"/>
    </row>
    <row r="160" spans="2:13" outlineLevel="1">
      <c r="B160" s="184"/>
      <c r="C160" s="39" t="s">
        <v>212</v>
      </c>
      <c r="D160" s="84">
        <f>'Факт ПС за 3 года'!Q73</f>
        <v>0</v>
      </c>
      <c r="E160" s="84">
        <f>'Факт ПС за 3 года'!R73</f>
        <v>0</v>
      </c>
      <c r="F160" s="160"/>
      <c r="G160" s="160"/>
      <c r="H160" s="204"/>
      <c r="I160" s="204"/>
      <c r="J160" s="204"/>
      <c r="K160" s="204"/>
      <c r="L160" s="204"/>
      <c r="M160" s="204"/>
    </row>
    <row r="161" spans="2:13" ht="24" outlineLevel="1">
      <c r="B161" s="184" t="s">
        <v>53</v>
      </c>
      <c r="C161" s="39" t="s">
        <v>35</v>
      </c>
      <c r="D161" s="84">
        <f>ROUND(AVERAGE(F161,H161,SUM(J161,L161)),3)</f>
        <v>0</v>
      </c>
      <c r="E161" s="84">
        <f t="shared" ref="E161" si="86">ROUND(AVERAGE(G161,I161,SUM(K161,M161)),3)</f>
        <v>0</v>
      </c>
      <c r="F161" s="78"/>
      <c r="G161" s="79"/>
      <c r="H161" s="78"/>
      <c r="I161" s="79"/>
      <c r="J161" s="79"/>
      <c r="K161" s="79"/>
      <c r="L161" s="79"/>
      <c r="M161" s="79"/>
    </row>
    <row r="163" spans="2:13">
      <c r="B163" s="241" t="s">
        <v>6</v>
      </c>
      <c r="C163" s="240" t="s">
        <v>7</v>
      </c>
      <c r="D163" s="191"/>
      <c r="E163" s="243"/>
    </row>
    <row r="164" spans="2:13" ht="15">
      <c r="B164" s="239"/>
      <c r="C164" s="240" t="s">
        <v>8</v>
      </c>
      <c r="D164" s="240"/>
      <c r="E164" s="242" t="s">
        <v>243</v>
      </c>
    </row>
  </sheetData>
  <mergeCells count="15">
    <mergeCell ref="L6:M6"/>
    <mergeCell ref="B11:C11"/>
    <mergeCell ref="F6:G6"/>
    <mergeCell ref="D6:E6"/>
    <mergeCell ref="H6:I6"/>
    <mergeCell ref="J2:K2"/>
    <mergeCell ref="C4:K4"/>
    <mergeCell ref="C6:C7"/>
    <mergeCell ref="B6:B7"/>
    <mergeCell ref="J6:K6"/>
    <mergeCell ref="B48:C48"/>
    <mergeCell ref="B8:M8"/>
    <mergeCell ref="B85:M85"/>
    <mergeCell ref="B88:C88"/>
    <mergeCell ref="B125:C125"/>
  </mergeCells>
  <pageMargins left="0.7" right="0.7" top="0.75" bottom="0.75" header="0.3" footer="0.3"/>
  <pageSetup paperSize="9" scale="42" orientation="portrait" r:id="rId1"/>
  <rowBreaks count="1" manualBreakCount="1">
    <brk id="84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3:R98"/>
  <sheetViews>
    <sheetView view="pageBreakPreview" topLeftCell="A70" zoomScale="80" zoomScaleNormal="100" zoomScaleSheetLayoutView="80" workbookViewId="0">
      <selection activeCell="I93" sqref="I93"/>
    </sheetView>
  </sheetViews>
  <sheetFormatPr defaultRowHeight="12"/>
  <cols>
    <col min="1" max="1" width="4.140625" style="15" customWidth="1"/>
    <col min="2" max="2" width="7" style="16" customWidth="1"/>
    <col min="3" max="3" width="46.28515625" style="16" customWidth="1"/>
    <col min="4" max="4" width="15.28515625" style="16" bestFit="1" customWidth="1"/>
    <col min="5" max="5" width="12.85546875" style="16" customWidth="1"/>
    <col min="6" max="6" width="12.7109375" style="16" customWidth="1"/>
    <col min="7" max="8" width="12.85546875" style="16" customWidth="1"/>
    <col min="9" max="9" width="13.7109375" style="16" customWidth="1"/>
    <col min="10" max="10" width="13.28515625" style="16" customWidth="1"/>
    <col min="11" max="11" width="12.5703125" style="16" customWidth="1"/>
    <col min="12" max="12" width="13.42578125" style="16" customWidth="1"/>
    <col min="13" max="13" width="11.7109375" style="16" customWidth="1"/>
    <col min="14" max="14" width="18.85546875" style="16" customWidth="1"/>
    <col min="15" max="15" width="6.28515625" style="16" customWidth="1"/>
    <col min="16" max="16" width="7.7109375" style="16" customWidth="1"/>
    <col min="17" max="18" width="7.85546875" style="16" customWidth="1"/>
    <col min="19" max="16384" width="9.140625" style="16"/>
  </cols>
  <sheetData>
    <row r="3" spans="1:12">
      <c r="F3" s="17"/>
      <c r="I3" s="17"/>
      <c r="L3" s="17"/>
    </row>
    <row r="4" spans="1:12">
      <c r="B4" s="18" t="s">
        <v>42</v>
      </c>
    </row>
    <row r="5" spans="1:12">
      <c r="B5" s="19" t="s">
        <v>9</v>
      </c>
    </row>
    <row r="6" spans="1:12">
      <c r="B6" s="19"/>
    </row>
    <row r="7" spans="1:12" ht="15">
      <c r="B7" s="20" t="s">
        <v>0</v>
      </c>
    </row>
    <row r="9" spans="1:12" ht="24" customHeight="1">
      <c r="A9" s="21" t="s">
        <v>1</v>
      </c>
      <c r="B9" s="279" t="s">
        <v>2</v>
      </c>
      <c r="C9" s="279" t="s">
        <v>3</v>
      </c>
      <c r="D9" s="280" t="s">
        <v>185</v>
      </c>
      <c r="E9" s="274"/>
      <c r="F9" s="275"/>
      <c r="G9" s="273" t="s">
        <v>186</v>
      </c>
      <c r="H9" s="274"/>
      <c r="I9" s="275"/>
      <c r="J9" s="274" t="s">
        <v>187</v>
      </c>
      <c r="K9" s="274"/>
      <c r="L9" s="276"/>
    </row>
    <row r="10" spans="1:12" ht="74.25" customHeight="1">
      <c r="B10" s="279"/>
      <c r="C10" s="279"/>
      <c r="D10" s="23" t="s">
        <v>10</v>
      </c>
      <c r="E10" s="23" t="s">
        <v>12</v>
      </c>
      <c r="F10" s="51" t="s">
        <v>223</v>
      </c>
      <c r="G10" s="61" t="s">
        <v>16</v>
      </c>
      <c r="H10" s="23" t="s">
        <v>12</v>
      </c>
      <c r="I10" s="51" t="s">
        <v>224</v>
      </c>
      <c r="J10" s="22" t="s">
        <v>16</v>
      </c>
      <c r="K10" s="23" t="s">
        <v>12</v>
      </c>
      <c r="L10" s="23" t="s">
        <v>223</v>
      </c>
    </row>
    <row r="11" spans="1:12" ht="24" customHeight="1">
      <c r="B11" s="279"/>
      <c r="C11" s="279"/>
      <c r="D11" s="23" t="s">
        <v>11</v>
      </c>
      <c r="E11" s="23" t="s">
        <v>13</v>
      </c>
      <c r="F11" s="51" t="s">
        <v>14</v>
      </c>
      <c r="G11" s="61" t="s">
        <v>11</v>
      </c>
      <c r="H11" s="23" t="s">
        <v>13</v>
      </c>
      <c r="I11" s="51" t="s">
        <v>14</v>
      </c>
      <c r="J11" s="22" t="s">
        <v>11</v>
      </c>
      <c r="K11" s="23" t="s">
        <v>13</v>
      </c>
      <c r="L11" s="23" t="s">
        <v>14</v>
      </c>
    </row>
    <row r="12" spans="1:12" ht="16.5" customHeight="1">
      <c r="B12" s="24">
        <v>1</v>
      </c>
      <c r="C12" s="24">
        <v>2</v>
      </c>
      <c r="D12" s="24">
        <v>3</v>
      </c>
      <c r="E12" s="24">
        <v>4</v>
      </c>
      <c r="F12" s="52">
        <v>5</v>
      </c>
      <c r="G12" s="62">
        <v>6</v>
      </c>
      <c r="H12" s="24">
        <v>7</v>
      </c>
      <c r="I12" s="52">
        <v>8</v>
      </c>
      <c r="J12" s="50">
        <v>9</v>
      </c>
      <c r="K12" s="24">
        <v>10</v>
      </c>
      <c r="L12" s="24">
        <v>11</v>
      </c>
    </row>
    <row r="13" spans="1:12" ht="46.5" customHeight="1">
      <c r="A13" s="21"/>
      <c r="B13" s="25" t="s">
        <v>4</v>
      </c>
      <c r="C13" s="26" t="s">
        <v>21</v>
      </c>
      <c r="D13" s="27" t="e">
        <f>F13*1000/E13</f>
        <v>#DIV/0!</v>
      </c>
      <c r="E13" s="43">
        <f>E14</f>
        <v>0</v>
      </c>
      <c r="F13" s="53">
        <f t="shared" ref="F13:L13" si="0">SUM(F14:F15)</f>
        <v>0</v>
      </c>
      <c r="G13" s="63">
        <f t="shared" si="0"/>
        <v>577.26</v>
      </c>
      <c r="H13" s="43">
        <f>E13</f>
        <v>0</v>
      </c>
      <c r="I13" s="64">
        <f t="shared" si="0"/>
        <v>0</v>
      </c>
      <c r="J13" s="244">
        <f t="shared" si="0"/>
        <v>8596</v>
      </c>
      <c r="K13" s="29" t="e">
        <f>K14</f>
        <v>#DIV/0!</v>
      </c>
      <c r="L13" s="27" t="e">
        <f t="shared" si="0"/>
        <v>#DIV/0!</v>
      </c>
    </row>
    <row r="14" spans="1:12" ht="28.5" customHeight="1">
      <c r="A14" s="21"/>
      <c r="B14" s="23" t="s">
        <v>22</v>
      </c>
      <c r="C14" s="30" t="s">
        <v>41</v>
      </c>
      <c r="D14" s="27" t="e">
        <f>F14*1000/E14</f>
        <v>#DIV/0!</v>
      </c>
      <c r="E14" s="43">
        <f>'Факт ТП за 3 года'!K9</f>
        <v>0</v>
      </c>
      <c r="F14" s="54"/>
      <c r="G14" s="66">
        <v>209.13</v>
      </c>
      <c r="H14" s="43">
        <f>E14</f>
        <v>0</v>
      </c>
      <c r="I14" s="55">
        <f>G14*H14/1000</f>
        <v>0</v>
      </c>
      <c r="J14" s="245">
        <v>3642</v>
      </c>
      <c r="K14" s="43" t="e">
        <f>'Факт ТП за 3 года'!D9</f>
        <v>#DIV/0!</v>
      </c>
      <c r="L14" s="31" t="e">
        <f>J14*K14/1000</f>
        <v>#DIV/0!</v>
      </c>
    </row>
    <row r="15" spans="1:12" ht="38.25" customHeight="1">
      <c r="A15" s="21"/>
      <c r="B15" s="23" t="s">
        <v>23</v>
      </c>
      <c r="C15" s="30" t="s">
        <v>188</v>
      </c>
      <c r="D15" s="27" t="e">
        <f t="shared" ref="D15" si="1">F15*1000/E15</f>
        <v>#DIV/0!</v>
      </c>
      <c r="E15" s="43">
        <f>E14</f>
        <v>0</v>
      </c>
      <c r="F15" s="54"/>
      <c r="G15" s="66">
        <f>83.28+284.85</f>
        <v>368.13</v>
      </c>
      <c r="H15" s="43">
        <f>E15</f>
        <v>0</v>
      </c>
      <c r="I15" s="55">
        <f t="shared" ref="I15" si="2">G15*H15/1000</f>
        <v>0</v>
      </c>
      <c r="J15" s="245">
        <v>4954</v>
      </c>
      <c r="K15" s="43" t="e">
        <f>K14</f>
        <v>#DIV/0!</v>
      </c>
      <c r="L15" s="31" t="e">
        <f>J15*K15/1000</f>
        <v>#DIV/0!</v>
      </c>
    </row>
    <row r="16" spans="1:12" ht="40.5" customHeight="1">
      <c r="A16" s="21"/>
      <c r="B16" s="25" t="s">
        <v>5</v>
      </c>
      <c r="C16" s="32" t="s">
        <v>26</v>
      </c>
      <c r="D16" s="45"/>
      <c r="E16" s="45"/>
      <c r="F16" s="55">
        <f>SUM(F18,F25,F34,F37,F53,F55,F58,F62,F61,F90)</f>
        <v>0</v>
      </c>
      <c r="G16" s="66"/>
      <c r="H16" s="45"/>
      <c r="I16" s="55">
        <f>SUM(I18,I25,I34,I37,I53)</f>
        <v>0</v>
      </c>
      <c r="J16" s="246"/>
      <c r="K16" s="45"/>
      <c r="L16" s="31" t="e">
        <f>SUM(L18,L25,L34,L37,L53)</f>
        <v>#DIV/0!</v>
      </c>
    </row>
    <row r="17" spans="1:12" ht="15.75" customHeight="1">
      <c r="A17" s="21"/>
      <c r="B17" s="277" t="s">
        <v>43</v>
      </c>
      <c r="C17" s="278"/>
      <c r="D17" s="33"/>
      <c r="E17" s="33"/>
      <c r="F17" s="56"/>
      <c r="G17" s="67"/>
      <c r="H17" s="33"/>
      <c r="I17" s="56"/>
      <c r="J17" s="247"/>
      <c r="K17" s="33"/>
      <c r="L17" s="34"/>
    </row>
    <row r="18" spans="1:12">
      <c r="A18" s="21"/>
      <c r="B18" s="23" t="s">
        <v>27</v>
      </c>
      <c r="C18" s="30" t="s">
        <v>28</v>
      </c>
      <c r="D18" s="35"/>
      <c r="E18" s="88">
        <f>SUM(E19:E23)</f>
        <v>0</v>
      </c>
      <c r="F18" s="88">
        <f>SUM(F19:F23)</f>
        <v>0</v>
      </c>
      <c r="G18" s="66"/>
      <c r="H18" s="88">
        <f>SUM(H19:H23)</f>
        <v>0</v>
      </c>
      <c r="I18" s="88">
        <f>SUM(I19:I23)</f>
        <v>0</v>
      </c>
      <c r="J18" s="248"/>
      <c r="K18" s="43" t="e">
        <f>SUM(K19:K24)</f>
        <v>#DIV/0!</v>
      </c>
      <c r="L18" s="46" t="e">
        <f>SUM(L19:L22)</f>
        <v>#DIV/0!</v>
      </c>
    </row>
    <row r="19" spans="1:12">
      <c r="A19" s="21"/>
      <c r="B19" s="23"/>
      <c r="C19" s="30" t="s">
        <v>190</v>
      </c>
      <c r="D19" s="27" t="e">
        <f>F19*1000/E19</f>
        <v>#DIV/0!</v>
      </c>
      <c r="E19" s="43">
        <f>'Факт ТП за 3 года'!J13</f>
        <v>0</v>
      </c>
      <c r="F19" s="54"/>
      <c r="G19" s="66">
        <v>160140.28</v>
      </c>
      <c r="H19" s="31">
        <f>E19</f>
        <v>0</v>
      </c>
      <c r="I19" s="55">
        <f t="shared" ref="I19:I24" si="3">G19*H19*$O$39*$Q$39/1000</f>
        <v>0</v>
      </c>
      <c r="J19" s="245">
        <v>786592</v>
      </c>
      <c r="K19" s="43" t="e">
        <f>'Факт ТП за 3 года'!D13</f>
        <v>#DIV/0!</v>
      </c>
      <c r="L19" s="31" t="e">
        <f>J19*K19</f>
        <v>#DIV/0!</v>
      </c>
    </row>
    <row r="20" spans="1:12">
      <c r="A20" s="21"/>
      <c r="B20" s="182"/>
      <c r="C20" s="30" t="s">
        <v>191</v>
      </c>
      <c r="D20" s="27" t="e">
        <f t="shared" ref="D20:D23" si="4">F20*1000/E20</f>
        <v>#DIV/0!</v>
      </c>
      <c r="E20" s="43">
        <f>'Факт ТП за 3 года'!J14</f>
        <v>0</v>
      </c>
      <c r="F20" s="54"/>
      <c r="G20" s="66">
        <v>230448.16</v>
      </c>
      <c r="H20" s="31">
        <f t="shared" ref="H20:H24" si="5">E20</f>
        <v>0</v>
      </c>
      <c r="I20" s="55">
        <f t="shared" si="3"/>
        <v>0</v>
      </c>
      <c r="J20" s="245">
        <f>J19</f>
        <v>786592</v>
      </c>
      <c r="K20" s="43" t="e">
        <f>'Факт ТП за 3 года'!D14</f>
        <v>#DIV/0!</v>
      </c>
      <c r="L20" s="31" t="e">
        <f t="shared" ref="L20:L24" si="6">J20*K20</f>
        <v>#DIV/0!</v>
      </c>
    </row>
    <row r="21" spans="1:12">
      <c r="A21" s="21"/>
      <c r="B21" s="182"/>
      <c r="C21" s="30" t="s">
        <v>192</v>
      </c>
      <c r="D21" s="27" t="e">
        <f t="shared" si="4"/>
        <v>#DIV/0!</v>
      </c>
      <c r="E21" s="43">
        <f>'Факт ТП за 3 года'!J15</f>
        <v>0</v>
      </c>
      <c r="F21" s="54"/>
      <c r="G21" s="66">
        <v>230331.91</v>
      </c>
      <c r="H21" s="31">
        <f t="shared" si="5"/>
        <v>0</v>
      </c>
      <c r="I21" s="55">
        <f t="shared" si="3"/>
        <v>0</v>
      </c>
      <c r="J21" s="245">
        <v>1204218</v>
      </c>
      <c r="K21" s="43" t="e">
        <f>'Факт ТП за 3 года'!D15</f>
        <v>#DIV/0!</v>
      </c>
      <c r="L21" s="31" t="e">
        <f t="shared" si="6"/>
        <v>#DIV/0!</v>
      </c>
    </row>
    <row r="22" spans="1:12">
      <c r="A22" s="21"/>
      <c r="B22" s="182"/>
      <c r="C22" s="30" t="s">
        <v>193</v>
      </c>
      <c r="D22" s="27" t="e">
        <f t="shared" si="4"/>
        <v>#DIV/0!</v>
      </c>
      <c r="E22" s="43">
        <f>'Факт ТП за 3 года'!J16</f>
        <v>0</v>
      </c>
      <c r="F22" s="54"/>
      <c r="G22" s="66">
        <v>281329.75</v>
      </c>
      <c r="H22" s="31">
        <f>E22</f>
        <v>0</v>
      </c>
      <c r="I22" s="55">
        <f t="shared" si="3"/>
        <v>0</v>
      </c>
      <c r="J22" s="245">
        <f>J21</f>
        <v>1204218</v>
      </c>
      <c r="K22" s="43" t="e">
        <f>'Факт ТП за 3 года'!D16</f>
        <v>#DIV/0!</v>
      </c>
      <c r="L22" s="31" t="e">
        <f t="shared" si="6"/>
        <v>#DIV/0!</v>
      </c>
    </row>
    <row r="23" spans="1:12">
      <c r="A23" s="21"/>
      <c r="B23" s="182"/>
      <c r="C23" s="30" t="s">
        <v>194</v>
      </c>
      <c r="D23" s="27" t="e">
        <f t="shared" si="4"/>
        <v>#DIV/0!</v>
      </c>
      <c r="E23" s="43">
        <f>'Факт ТП за 3 года'!J17</f>
        <v>0</v>
      </c>
      <c r="F23" s="54"/>
      <c r="G23" s="66">
        <v>307436.89</v>
      </c>
      <c r="H23" s="31">
        <f t="shared" si="5"/>
        <v>0</v>
      </c>
      <c r="I23" s="55">
        <f t="shared" si="3"/>
        <v>0</v>
      </c>
      <c r="J23" s="245">
        <v>1500802</v>
      </c>
      <c r="K23" s="43" t="e">
        <f>'Факт ТП за 3 года'!D17</f>
        <v>#DIV/0!</v>
      </c>
      <c r="L23" s="31" t="e">
        <f t="shared" si="6"/>
        <v>#DIV/0!</v>
      </c>
    </row>
    <row r="24" spans="1:12">
      <c r="A24" s="21"/>
      <c r="B24" s="219"/>
      <c r="C24" s="30" t="s">
        <v>195</v>
      </c>
      <c r="D24" s="27" t="e">
        <f>F24*1000/E24</f>
        <v>#DIV/0!</v>
      </c>
      <c r="E24" s="43">
        <f>'Факт ТП за 3 года'!J18</f>
        <v>0</v>
      </c>
      <c r="F24" s="221"/>
      <c r="G24" s="66">
        <v>326756.55</v>
      </c>
      <c r="H24" s="31">
        <f t="shared" si="5"/>
        <v>0</v>
      </c>
      <c r="I24" s="55">
        <f t="shared" si="3"/>
        <v>0</v>
      </c>
      <c r="J24" s="245">
        <v>1595120</v>
      </c>
      <c r="K24" s="43" t="e">
        <f>'Факт ТП за 3 года'!D18</f>
        <v>#DIV/0!</v>
      </c>
      <c r="L24" s="31" t="e">
        <f t="shared" si="6"/>
        <v>#DIV/0!</v>
      </c>
    </row>
    <row r="25" spans="1:12">
      <c r="A25" s="21"/>
      <c r="B25" s="23" t="s">
        <v>29</v>
      </c>
      <c r="C25" s="30" t="s">
        <v>30</v>
      </c>
      <c r="D25" s="49"/>
      <c r="E25" s="88">
        <f>SUM(E26:E33)</f>
        <v>0</v>
      </c>
      <c r="F25" s="88">
        <f>SUM(F26:F33)</f>
        <v>0</v>
      </c>
      <c r="G25" s="252"/>
      <c r="H25" s="88">
        <f>SUM(H26:H33)</f>
        <v>0</v>
      </c>
      <c r="I25" s="88">
        <f>SUM(I26:I33)</f>
        <v>0</v>
      </c>
      <c r="J25" s="249"/>
      <c r="K25" s="88" t="e">
        <f>SUM(K26:K33)</f>
        <v>#DIV/0!</v>
      </c>
      <c r="L25" s="46" t="e">
        <f>SUM(L26:L27)</f>
        <v>#DIV/0!</v>
      </c>
    </row>
    <row r="26" spans="1:12">
      <c r="A26" s="21"/>
      <c r="B26" s="23"/>
      <c r="C26" s="30" t="s">
        <v>196</v>
      </c>
      <c r="D26" s="27" t="e">
        <f t="shared" ref="D26:D53" si="7">F26*1000/E26</f>
        <v>#DIV/0!</v>
      </c>
      <c r="E26" s="43">
        <f>'Факт ТП за 3 года'!J20</f>
        <v>0</v>
      </c>
      <c r="F26" s="54"/>
      <c r="G26" s="66">
        <v>349612.6</v>
      </c>
      <c r="H26" s="31">
        <f>E26</f>
        <v>0</v>
      </c>
      <c r="I26" s="55">
        <f t="shared" ref="I26:I33" si="8">G26*H26*$O$40*$Q$40/1000</f>
        <v>0</v>
      </c>
      <c r="J26" s="245">
        <v>1278516</v>
      </c>
      <c r="K26" s="43" t="e">
        <f>'Факт ТП за 3 года'!D20</f>
        <v>#DIV/0!</v>
      </c>
      <c r="L26" s="31" t="e">
        <f>J26*K26</f>
        <v>#DIV/0!</v>
      </c>
    </row>
    <row r="27" spans="1:12">
      <c r="A27" s="21"/>
      <c r="B27" s="23"/>
      <c r="C27" s="30" t="s">
        <v>197</v>
      </c>
      <c r="D27" s="27" t="e">
        <f>F27*1000/E27</f>
        <v>#DIV/0!</v>
      </c>
      <c r="E27" s="43">
        <f>'Факт ТП за 3 года'!J21</f>
        <v>0</v>
      </c>
      <c r="F27" s="54"/>
      <c r="G27" s="66">
        <v>339575.48</v>
      </c>
      <c r="H27" s="31">
        <f t="shared" ref="H27:H33" si="9">E27</f>
        <v>0</v>
      </c>
      <c r="I27" s="55">
        <f t="shared" si="8"/>
        <v>0</v>
      </c>
      <c r="J27" s="245">
        <v>1873376</v>
      </c>
      <c r="K27" s="43" t="e">
        <f>'Факт ТП за 3 года'!D21</f>
        <v>#DIV/0!</v>
      </c>
      <c r="L27" s="31" t="e">
        <f t="shared" ref="L27:L31" si="10">J27*K27</f>
        <v>#DIV/0!</v>
      </c>
    </row>
    <row r="28" spans="1:12">
      <c r="A28" s="21"/>
      <c r="B28" s="182"/>
      <c r="C28" s="30" t="s">
        <v>198</v>
      </c>
      <c r="D28" s="27" t="e">
        <f t="shared" ref="D28:D36" si="11">F28*1000/E28</f>
        <v>#DIV/0!</v>
      </c>
      <c r="E28" s="43">
        <f>'Факт ТП за 3 года'!J22</f>
        <v>0</v>
      </c>
      <c r="F28" s="54"/>
      <c r="G28" s="66">
        <v>402924.79999999999</v>
      </c>
      <c r="H28" s="31">
        <f t="shared" si="9"/>
        <v>0</v>
      </c>
      <c r="I28" s="55">
        <f t="shared" si="8"/>
        <v>0</v>
      </c>
      <c r="J28" s="245">
        <v>2162583</v>
      </c>
      <c r="K28" s="43" t="e">
        <f>'Факт ТП за 3 года'!D22</f>
        <v>#DIV/0!</v>
      </c>
      <c r="L28" s="31" t="e">
        <f t="shared" si="10"/>
        <v>#DIV/0!</v>
      </c>
    </row>
    <row r="29" spans="1:12">
      <c r="A29" s="21"/>
      <c r="B29" s="182"/>
      <c r="C29" s="30" t="s">
        <v>199</v>
      </c>
      <c r="D29" s="27" t="e">
        <f t="shared" si="11"/>
        <v>#DIV/0!</v>
      </c>
      <c r="E29" s="43">
        <f>'Факт ТП за 3 года'!J23</f>
        <v>0</v>
      </c>
      <c r="F29" s="54"/>
      <c r="G29" s="66">
        <v>511959.36</v>
      </c>
      <c r="H29" s="31">
        <f t="shared" si="9"/>
        <v>0</v>
      </c>
      <c r="I29" s="55">
        <f>G29*H29*$O$40*$Q$40/1000</f>
        <v>0</v>
      </c>
      <c r="J29" s="245">
        <v>2675215</v>
      </c>
      <c r="K29" s="43" t="e">
        <f>'Факт ТП за 3 года'!D23</f>
        <v>#DIV/0!</v>
      </c>
      <c r="L29" s="31" t="e">
        <f t="shared" si="10"/>
        <v>#DIV/0!</v>
      </c>
    </row>
    <row r="30" spans="1:12">
      <c r="A30" s="21"/>
      <c r="B30" s="182"/>
      <c r="C30" s="30" t="s">
        <v>200</v>
      </c>
      <c r="D30" s="27" t="e">
        <f t="shared" si="11"/>
        <v>#DIV/0!</v>
      </c>
      <c r="E30" s="43">
        <f>'Факт ТП за 3 года'!J24</f>
        <v>0</v>
      </c>
      <c r="F30" s="54"/>
      <c r="G30" s="66">
        <f>228504.97*2</f>
        <v>457009.94</v>
      </c>
      <c r="H30" s="31">
        <f t="shared" si="9"/>
        <v>0</v>
      </c>
      <c r="I30" s="55">
        <f t="shared" si="8"/>
        <v>0</v>
      </c>
      <c r="J30" s="245">
        <v>2025005</v>
      </c>
      <c r="K30" s="43" t="e">
        <f>'Факт ТП за 3 года'!D24</f>
        <v>#DIV/0!</v>
      </c>
      <c r="L30" s="31" t="e">
        <f t="shared" si="10"/>
        <v>#DIV/0!</v>
      </c>
    </row>
    <row r="31" spans="1:12">
      <c r="A31" s="21"/>
      <c r="B31" s="182"/>
      <c r="C31" s="30" t="s">
        <v>201</v>
      </c>
      <c r="D31" s="27" t="e">
        <f t="shared" si="11"/>
        <v>#DIV/0!</v>
      </c>
      <c r="E31" s="43">
        <f>'Факт ТП за 3 года'!J25</f>
        <v>0</v>
      </c>
      <c r="F31" s="54"/>
      <c r="G31" s="66">
        <f>246069.19*2</f>
        <v>492138.38</v>
      </c>
      <c r="H31" s="31">
        <f>E31</f>
        <v>0</v>
      </c>
      <c r="I31" s="55">
        <f t="shared" si="8"/>
        <v>0</v>
      </c>
      <c r="J31" s="245">
        <v>2870504</v>
      </c>
      <c r="K31" s="43" t="e">
        <f>'Факт ТП за 3 года'!D25</f>
        <v>#DIV/0!</v>
      </c>
      <c r="L31" s="31" t="e">
        <f t="shared" si="10"/>
        <v>#DIV/0!</v>
      </c>
    </row>
    <row r="32" spans="1:12">
      <c r="A32" s="21"/>
      <c r="B32" s="182"/>
      <c r="C32" s="30" t="s">
        <v>202</v>
      </c>
      <c r="D32" s="27" t="e">
        <f t="shared" si="11"/>
        <v>#DIV/0!</v>
      </c>
      <c r="E32" s="43">
        <f>'Факт ТП за 3 года'!J26</f>
        <v>0</v>
      </c>
      <c r="F32" s="54"/>
      <c r="G32" s="66">
        <f>307576.18*2</f>
        <v>615152.36</v>
      </c>
      <c r="H32" s="31">
        <f t="shared" si="9"/>
        <v>0</v>
      </c>
      <c r="I32" s="55">
        <f t="shared" si="8"/>
        <v>0</v>
      </c>
      <c r="J32" s="245">
        <v>3425254</v>
      </c>
      <c r="K32" s="43" t="e">
        <f>'Факт ТП за 3 года'!D26</f>
        <v>#DIV/0!</v>
      </c>
      <c r="L32" s="31" t="e">
        <f>J32*K32</f>
        <v>#DIV/0!</v>
      </c>
    </row>
    <row r="33" spans="1:18">
      <c r="A33" s="21"/>
      <c r="B33" s="182"/>
      <c r="C33" s="30" t="s">
        <v>203</v>
      </c>
      <c r="D33" s="27" t="e">
        <f t="shared" si="11"/>
        <v>#DIV/0!</v>
      </c>
      <c r="E33" s="43">
        <f>'Факт ТП за 3 года'!J27</f>
        <v>0</v>
      </c>
      <c r="F33" s="54"/>
      <c r="G33" s="66">
        <f>390808.67*2</f>
        <v>781617.34</v>
      </c>
      <c r="H33" s="31">
        <f t="shared" si="9"/>
        <v>0</v>
      </c>
      <c r="I33" s="55">
        <f t="shared" si="8"/>
        <v>0</v>
      </c>
      <c r="J33" s="245">
        <v>4237197</v>
      </c>
      <c r="K33" s="43" t="e">
        <f>'Факт ТП за 3 года'!D27</f>
        <v>#DIV/0!</v>
      </c>
      <c r="L33" s="31" t="e">
        <f>J33*K33</f>
        <v>#DIV/0!</v>
      </c>
    </row>
    <row r="34" spans="1:18">
      <c r="A34" s="21"/>
      <c r="B34" s="23" t="s">
        <v>31</v>
      </c>
      <c r="C34" s="30" t="s">
        <v>44</v>
      </c>
      <c r="D34" s="49"/>
      <c r="E34" s="88">
        <f>SUM(E35:E36)</f>
        <v>0</v>
      </c>
      <c r="F34" s="88">
        <f>SUM(F35:F36)</f>
        <v>0</v>
      </c>
      <c r="H34" s="88">
        <f>SUM(H35:H36)</f>
        <v>0</v>
      </c>
      <c r="I34" s="88">
        <f>SUM(I35:I36)</f>
        <v>0</v>
      </c>
      <c r="J34" s="246"/>
      <c r="K34" s="43" t="e">
        <f>SUM(K35:K36)</f>
        <v>#DIV/0!</v>
      </c>
      <c r="L34" s="46" t="e">
        <f>J34*K34*$O$58*$Q$58/1000</f>
        <v>#DIV/0!</v>
      </c>
    </row>
    <row r="35" spans="1:18">
      <c r="A35" s="21"/>
      <c r="B35" s="182"/>
      <c r="C35" s="30" t="s">
        <v>204</v>
      </c>
      <c r="D35" s="27" t="e">
        <f t="shared" si="11"/>
        <v>#DIV/0!</v>
      </c>
      <c r="E35" s="43">
        <f>'Факт ТП за 3 года'!J29</f>
        <v>0</v>
      </c>
      <c r="F35" s="54"/>
      <c r="G35" s="66">
        <v>75.989999999999995</v>
      </c>
      <c r="H35" s="31">
        <f>E35</f>
        <v>0</v>
      </c>
      <c r="I35" s="55">
        <f>G35*H35*$O$41*$Q$41/1000</f>
        <v>0</v>
      </c>
      <c r="J35" s="245">
        <v>137786</v>
      </c>
      <c r="K35" s="43" t="e">
        <f>'Факт ТП за 3 года'!D29</f>
        <v>#DIV/0!</v>
      </c>
      <c r="L35" s="31" t="e">
        <f>J35*K35</f>
        <v>#DIV/0!</v>
      </c>
    </row>
    <row r="36" spans="1:18">
      <c r="A36" s="21"/>
      <c r="B36" s="182"/>
      <c r="C36" s="30" t="s">
        <v>205</v>
      </c>
      <c r="D36" s="27" t="e">
        <f t="shared" si="11"/>
        <v>#DIV/0!</v>
      </c>
      <c r="E36" s="43">
        <f>'Факт ТП за 3 года'!J30</f>
        <v>0</v>
      </c>
      <c r="F36" s="54"/>
      <c r="G36" s="66">
        <v>306.64999999999998</v>
      </c>
      <c r="H36" s="31">
        <f>E36</f>
        <v>0</v>
      </c>
      <c r="I36" s="55">
        <f t="shared" ref="I36" si="12">G36*H36*$O$41*$Q$41/1000</f>
        <v>0</v>
      </c>
      <c r="J36" s="245">
        <v>1950320</v>
      </c>
      <c r="K36" s="43" t="e">
        <f>'Факт ТП за 3 года'!D30</f>
        <v>#DIV/0!</v>
      </c>
      <c r="L36" s="31" t="e">
        <f>J36*K36</f>
        <v>#DIV/0!</v>
      </c>
    </row>
    <row r="37" spans="1:18" ht="52.5" customHeight="1">
      <c r="A37" s="21"/>
      <c r="B37" s="23" t="s">
        <v>32</v>
      </c>
      <c r="C37" s="30" t="s">
        <v>33</v>
      </c>
      <c r="D37" s="35"/>
      <c r="E37" s="46">
        <f>SUM(E38:E52)</f>
        <v>0</v>
      </c>
      <c r="F37" s="46">
        <f>SUM(F38:F52)</f>
        <v>0</v>
      </c>
      <c r="G37" s="66"/>
      <c r="H37" s="46">
        <f>SUM(H38:H52)</f>
        <v>0</v>
      </c>
      <c r="I37" s="46">
        <f>SUM(I38:I52)</f>
        <v>0</v>
      </c>
      <c r="J37" s="249"/>
      <c r="K37" s="46">
        <f>SUM(K38:K52)</f>
        <v>0</v>
      </c>
      <c r="L37" s="46">
        <f>SUM(L38:L52)</f>
        <v>0</v>
      </c>
    </row>
    <row r="38" spans="1:18">
      <c r="A38" s="21"/>
      <c r="B38" s="23"/>
      <c r="C38" s="30" t="s">
        <v>55</v>
      </c>
      <c r="D38" s="27" t="e">
        <f t="shared" si="7"/>
        <v>#DIV/0!</v>
      </c>
      <c r="E38" s="43">
        <f>'Факт ПС за 3 года'!K10*'Факт ПС за 3 года'!J10</f>
        <v>0</v>
      </c>
      <c r="F38" s="54"/>
      <c r="G38" s="66">
        <v>1213.32</v>
      </c>
      <c r="H38" s="31">
        <f>E38</f>
        <v>0</v>
      </c>
      <c r="I38" s="55">
        <f>G38*H38*$O$41*$Q$41/1000</f>
        <v>0</v>
      </c>
      <c r="J38" s="245">
        <v>4896</v>
      </c>
      <c r="K38" s="31">
        <f>'Факт ПС за 3 года'!R10</f>
        <v>0</v>
      </c>
      <c r="L38" s="31">
        <f t="shared" ref="L38:L52" si="13">J38*K38</f>
        <v>0</v>
      </c>
      <c r="M38" s="36" t="s">
        <v>189</v>
      </c>
      <c r="N38" s="37" t="s">
        <v>70</v>
      </c>
      <c r="O38" s="37" t="s">
        <v>71</v>
      </c>
      <c r="P38" s="38" t="s">
        <v>77</v>
      </c>
      <c r="Q38" s="37" t="s">
        <v>75</v>
      </c>
      <c r="R38" s="37" t="s">
        <v>76</v>
      </c>
    </row>
    <row r="39" spans="1:18">
      <c r="A39" s="21"/>
      <c r="B39" s="23"/>
      <c r="C39" s="30" t="s">
        <v>206</v>
      </c>
      <c r="D39" s="27" t="e">
        <f t="shared" si="7"/>
        <v>#DIV/0!</v>
      </c>
      <c r="E39" s="43">
        <f>'Факт ПС за 3 года'!K11*'Факт ПС за 3 года'!J11</f>
        <v>0</v>
      </c>
      <c r="F39" s="54"/>
      <c r="G39" s="66">
        <v>776.94</v>
      </c>
      <c r="H39" s="31">
        <f t="shared" ref="H39:H52" si="14">E39</f>
        <v>0</v>
      </c>
      <c r="I39" s="55">
        <f t="shared" ref="I39:I51" si="15">G39*H39*$O$41*$Q$41/1000</f>
        <v>0</v>
      </c>
      <c r="J39" s="245">
        <v>3060</v>
      </c>
      <c r="K39" s="31">
        <f>'Факт ПС за 3 года'!R11</f>
        <v>0</v>
      </c>
      <c r="L39" s="31">
        <f t="shared" si="13"/>
        <v>0</v>
      </c>
      <c r="N39" s="37" t="s">
        <v>72</v>
      </c>
      <c r="O39" s="72">
        <f>AVERAGE(4.91,4.94,5.06,5.12)</f>
        <v>5.0075000000000003</v>
      </c>
      <c r="P39" s="72">
        <f>AVERAGE(5.43,5.46,5.6,5.67)</f>
        <v>5.5400000000000009</v>
      </c>
      <c r="Q39" s="37">
        <v>1.01</v>
      </c>
      <c r="R39" s="37">
        <v>1.02</v>
      </c>
    </row>
    <row r="40" spans="1:18">
      <c r="A40" s="21"/>
      <c r="B40" s="23"/>
      <c r="C40" s="30" t="s">
        <v>54</v>
      </c>
      <c r="D40" s="27" t="e">
        <f t="shared" si="7"/>
        <v>#DIV/0!</v>
      </c>
      <c r="E40" s="43">
        <f>'Факт ПС за 3 года'!K12*'Факт ПС за 3 года'!J12</f>
        <v>0</v>
      </c>
      <c r="F40" s="54"/>
      <c r="G40" s="66">
        <v>672.8</v>
      </c>
      <c r="H40" s="31">
        <f t="shared" si="14"/>
        <v>0</v>
      </c>
      <c r="I40" s="55">
        <f t="shared" si="15"/>
        <v>0</v>
      </c>
      <c r="J40" s="245">
        <v>2650</v>
      </c>
      <c r="K40" s="31">
        <f>'Факт ПС за 3 года'!R12</f>
        <v>0</v>
      </c>
      <c r="L40" s="31">
        <f t="shared" si="13"/>
        <v>0</v>
      </c>
      <c r="N40" s="37" t="s">
        <v>73</v>
      </c>
      <c r="O40" s="72">
        <f>AVERAGE(6.91,6.95,7.13,7.22)</f>
        <v>7.0524999999999993</v>
      </c>
      <c r="P40" s="72">
        <f>AVERAGE(8.55,8.55,8.77,8.88)</f>
        <v>8.6875</v>
      </c>
      <c r="Q40" s="37">
        <v>1.01</v>
      </c>
      <c r="R40" s="37">
        <v>1.02</v>
      </c>
    </row>
    <row r="41" spans="1:18">
      <c r="A41" s="21"/>
      <c r="B41" s="184"/>
      <c r="C41" s="39" t="s">
        <v>45</v>
      </c>
      <c r="D41" s="27" t="e">
        <f t="shared" si="7"/>
        <v>#DIV/0!</v>
      </c>
      <c r="E41" s="43">
        <f>'Факт ПС за 3 года'!K13*'Факт ПС за 3 года'!J13</f>
        <v>0</v>
      </c>
      <c r="F41" s="54"/>
      <c r="G41" s="66">
        <v>583.61</v>
      </c>
      <c r="H41" s="31">
        <f t="shared" si="14"/>
        <v>0</v>
      </c>
      <c r="I41" s="55">
        <f t="shared" si="15"/>
        <v>0</v>
      </c>
      <c r="J41" s="245">
        <v>2170</v>
      </c>
      <c r="K41" s="31">
        <f>'Факт ПС за 3 года'!R13</f>
        <v>0</v>
      </c>
      <c r="L41" s="31">
        <f t="shared" si="13"/>
        <v>0</v>
      </c>
      <c r="N41" s="37" t="s">
        <v>74</v>
      </c>
      <c r="O41" s="72">
        <f>AVERAGE(8.89,8.93,9.16,9.27)</f>
        <v>9.0625</v>
      </c>
      <c r="P41" s="72">
        <f>AVERAGE(10.51,10.46,10.73,10.86)</f>
        <v>10.64</v>
      </c>
      <c r="Q41" s="37">
        <v>1.01</v>
      </c>
      <c r="R41" s="37">
        <v>1.02</v>
      </c>
    </row>
    <row r="42" spans="1:18">
      <c r="A42" s="21"/>
      <c r="B42" s="184"/>
      <c r="C42" s="39" t="s">
        <v>46</v>
      </c>
      <c r="D42" s="27" t="e">
        <f t="shared" si="7"/>
        <v>#DIV/0!</v>
      </c>
      <c r="E42" s="43">
        <f>'Факт ПС за 3 года'!K14*'Факт ПС за 3 года'!J14</f>
        <v>0</v>
      </c>
      <c r="F42" s="54"/>
      <c r="G42" s="66">
        <v>338.67</v>
      </c>
      <c r="H42" s="31">
        <f t="shared" si="14"/>
        <v>0</v>
      </c>
      <c r="I42" s="55">
        <f t="shared" si="15"/>
        <v>0</v>
      </c>
      <c r="J42" s="245">
        <v>1847</v>
      </c>
      <c r="K42" s="31">
        <f>'Факт ПС за 3 года'!R14</f>
        <v>0</v>
      </c>
      <c r="L42" s="31">
        <f t="shared" si="13"/>
        <v>0</v>
      </c>
      <c r="M42" s="36"/>
      <c r="N42" s="40"/>
      <c r="O42" s="40"/>
      <c r="P42" s="40"/>
      <c r="Q42" s="40"/>
      <c r="R42" s="40"/>
    </row>
    <row r="43" spans="1:18">
      <c r="A43" s="21"/>
      <c r="B43" s="184"/>
      <c r="C43" s="39" t="s">
        <v>47</v>
      </c>
      <c r="D43" s="27" t="e">
        <f t="shared" si="7"/>
        <v>#DIV/0!</v>
      </c>
      <c r="E43" s="43">
        <f>'Факт ПС за 3 года'!K15*'Факт ПС за 3 года'!J15</f>
        <v>0</v>
      </c>
      <c r="F43" s="54"/>
      <c r="G43" s="66">
        <v>321.12</v>
      </c>
      <c r="H43" s="31">
        <f t="shared" si="14"/>
        <v>0</v>
      </c>
      <c r="I43" s="55">
        <f>G43*H43*$O$41*$Q$41/1000</f>
        <v>0</v>
      </c>
      <c r="J43" s="245">
        <v>2236</v>
      </c>
      <c r="K43" s="31">
        <f>'Факт ПС за 3 года'!R15</f>
        <v>0</v>
      </c>
      <c r="L43" s="31">
        <f>J43*K43</f>
        <v>0</v>
      </c>
      <c r="M43" s="36"/>
    </row>
    <row r="44" spans="1:18">
      <c r="A44" s="21"/>
      <c r="B44" s="184"/>
      <c r="C44" s="39" t="s">
        <v>207</v>
      </c>
      <c r="D44" s="27" t="e">
        <f>F44*1000/E44</f>
        <v>#DIV/0!</v>
      </c>
      <c r="E44" s="43">
        <f>'Факт ПС за 3 года'!K16*'Факт ПС за 3 года'!J16</f>
        <v>0</v>
      </c>
      <c r="F44" s="54"/>
      <c r="G44" s="66">
        <v>214.76</v>
      </c>
      <c r="H44" s="31">
        <f t="shared" si="14"/>
        <v>0</v>
      </c>
      <c r="I44" s="55">
        <f t="shared" si="15"/>
        <v>0</v>
      </c>
      <c r="J44" s="245">
        <v>1881</v>
      </c>
      <c r="K44" s="31">
        <f>'Факт ПС за 3 года'!R16</f>
        <v>0</v>
      </c>
      <c r="L44" s="31">
        <f t="shared" si="13"/>
        <v>0</v>
      </c>
      <c r="M44" s="36"/>
    </row>
    <row r="45" spans="1:18">
      <c r="A45" s="21"/>
      <c r="B45" s="184"/>
      <c r="C45" s="39" t="s">
        <v>208</v>
      </c>
      <c r="D45" s="27" t="e">
        <f t="shared" ref="D45:D52" si="16">F45*1000/E45</f>
        <v>#DIV/0!</v>
      </c>
      <c r="E45" s="43">
        <f>'Факт ПС за 3 года'!K17*'Факт ПС за 3 года'!J17</f>
        <v>0</v>
      </c>
      <c r="F45" s="54"/>
      <c r="G45" s="66">
        <v>205.1</v>
      </c>
      <c r="H45" s="31">
        <f t="shared" si="14"/>
        <v>0</v>
      </c>
      <c r="I45" s="55">
        <f t="shared" si="15"/>
        <v>0</v>
      </c>
      <c r="J45" s="245">
        <v>1379</v>
      </c>
      <c r="K45" s="31">
        <f>'Факт ПС за 3 года'!R17</f>
        <v>0</v>
      </c>
      <c r="L45" s="31">
        <f t="shared" si="13"/>
        <v>0</v>
      </c>
      <c r="M45" s="36"/>
    </row>
    <row r="46" spans="1:18">
      <c r="A46" s="21"/>
      <c r="B46" s="184"/>
      <c r="C46" s="39" t="s">
        <v>59</v>
      </c>
      <c r="D46" s="27" t="e">
        <f t="shared" si="16"/>
        <v>#DIV/0!</v>
      </c>
      <c r="E46" s="43">
        <f>'Факт ПС за 3 года'!K18*'Факт ПС за 3 года'!J18</f>
        <v>0</v>
      </c>
      <c r="F46" s="54"/>
      <c r="G46" s="66">
        <v>151.63999999999999</v>
      </c>
      <c r="H46" s="31">
        <f t="shared" si="14"/>
        <v>0</v>
      </c>
      <c r="I46" s="55">
        <f t="shared" si="15"/>
        <v>0</v>
      </c>
      <c r="J46" s="245">
        <v>1180</v>
      </c>
      <c r="K46" s="31">
        <f>'Факт ПС за 3 года'!R18</f>
        <v>0</v>
      </c>
      <c r="L46" s="31">
        <f t="shared" si="13"/>
        <v>0</v>
      </c>
      <c r="M46" s="36"/>
    </row>
    <row r="47" spans="1:18">
      <c r="A47" s="21"/>
      <c r="B47" s="184"/>
      <c r="C47" s="39" t="s">
        <v>60</v>
      </c>
      <c r="D47" s="27" t="e">
        <f t="shared" si="16"/>
        <v>#DIV/0!</v>
      </c>
      <c r="E47" s="43">
        <f>'Факт ПС за 3 года'!K19*'Факт ПС за 3 года'!J19</f>
        <v>0</v>
      </c>
      <c r="F47" s="54"/>
      <c r="G47" s="66">
        <v>2109.42</v>
      </c>
      <c r="H47" s="31">
        <f t="shared" si="14"/>
        <v>0</v>
      </c>
      <c r="I47" s="55">
        <f t="shared" si="15"/>
        <v>0</v>
      </c>
      <c r="J47" s="245">
        <v>16601</v>
      </c>
      <c r="K47" s="31">
        <f>'Факт ПС за 3 года'!R19</f>
        <v>0</v>
      </c>
      <c r="L47" s="31">
        <f t="shared" si="13"/>
        <v>0</v>
      </c>
      <c r="M47" s="36"/>
    </row>
    <row r="48" spans="1:18">
      <c r="A48" s="21"/>
      <c r="B48" s="184"/>
      <c r="C48" s="39" t="s">
        <v>61</v>
      </c>
      <c r="D48" s="27" t="e">
        <f t="shared" si="16"/>
        <v>#DIV/0!</v>
      </c>
      <c r="E48" s="43">
        <f>'Факт ПС за 3 года'!K20*'Факт ПС за 3 года'!J20</f>
        <v>0</v>
      </c>
      <c r="F48" s="54"/>
      <c r="G48" s="66">
        <v>1930.99</v>
      </c>
      <c r="H48" s="31">
        <f t="shared" si="14"/>
        <v>0</v>
      </c>
      <c r="I48" s="55">
        <f t="shared" si="15"/>
        <v>0</v>
      </c>
      <c r="J48" s="245">
        <v>24685</v>
      </c>
      <c r="K48" s="31">
        <f>'Факт ПС за 3 года'!R20</f>
        <v>0</v>
      </c>
      <c r="L48" s="31">
        <f t="shared" si="13"/>
        <v>0</v>
      </c>
      <c r="M48" s="36"/>
    </row>
    <row r="49" spans="1:18">
      <c r="A49" s="21"/>
      <c r="B49" s="184"/>
      <c r="C49" s="39" t="s">
        <v>209</v>
      </c>
      <c r="D49" s="27" t="e">
        <f t="shared" si="16"/>
        <v>#DIV/0!</v>
      </c>
      <c r="E49" s="43">
        <f>'Факт ПС за 3 года'!K21*'Факт ПС за 3 года'!J21</f>
        <v>0</v>
      </c>
      <c r="F49" s="54"/>
      <c r="G49" s="66">
        <v>1843.97</v>
      </c>
      <c r="H49" s="31">
        <f t="shared" si="14"/>
        <v>0</v>
      </c>
      <c r="I49" s="55">
        <f t="shared" si="15"/>
        <v>0</v>
      </c>
      <c r="J49" s="245">
        <v>21064</v>
      </c>
      <c r="K49" s="31">
        <f>'Факт ПС за 3 года'!R21</f>
        <v>0</v>
      </c>
      <c r="L49" s="31">
        <f t="shared" si="13"/>
        <v>0</v>
      </c>
      <c r="M49" s="36"/>
    </row>
    <row r="50" spans="1:18">
      <c r="A50" s="21"/>
      <c r="B50" s="184"/>
      <c r="C50" s="39" t="s">
        <v>210</v>
      </c>
      <c r="D50" s="27" t="e">
        <f t="shared" si="16"/>
        <v>#DIV/0!</v>
      </c>
      <c r="E50" s="43">
        <f>'Факт ПС за 3 года'!K22*'Факт ПС за 3 года'!J22</f>
        <v>0</v>
      </c>
      <c r="F50" s="54"/>
      <c r="G50" s="66">
        <v>988.3</v>
      </c>
      <c r="H50" s="31">
        <f t="shared" si="14"/>
        <v>0</v>
      </c>
      <c r="I50" s="55">
        <f t="shared" si="15"/>
        <v>0</v>
      </c>
      <c r="J50" s="245">
        <v>12624</v>
      </c>
      <c r="K50" s="31">
        <f>'Факт ПС за 3 года'!R22</f>
        <v>0</v>
      </c>
      <c r="L50" s="31">
        <f t="shared" si="13"/>
        <v>0</v>
      </c>
      <c r="M50" s="36"/>
    </row>
    <row r="51" spans="1:18">
      <c r="A51" s="21"/>
      <c r="B51" s="184"/>
      <c r="C51" s="39" t="s">
        <v>211</v>
      </c>
      <c r="D51" s="27" t="e">
        <f t="shared" si="16"/>
        <v>#DIV/0!</v>
      </c>
      <c r="E51" s="43">
        <f>'Факт ПС за 3 года'!K23*'Факт ПС за 3 года'!J23</f>
        <v>0</v>
      </c>
      <c r="F51" s="54"/>
      <c r="G51" s="66">
        <v>601.14</v>
      </c>
      <c r="H51" s="31">
        <f t="shared" si="14"/>
        <v>0</v>
      </c>
      <c r="I51" s="55">
        <f t="shared" si="15"/>
        <v>0</v>
      </c>
      <c r="J51" s="245">
        <v>10416</v>
      </c>
      <c r="K51" s="31">
        <f>'Факт ПС за 3 года'!R23</f>
        <v>0</v>
      </c>
      <c r="L51" s="31">
        <f t="shared" si="13"/>
        <v>0</v>
      </c>
      <c r="M51" s="36"/>
    </row>
    <row r="52" spans="1:18">
      <c r="A52" s="21"/>
      <c r="B52" s="184"/>
      <c r="C52" s="39" t="s">
        <v>212</v>
      </c>
      <c r="D52" s="27" t="e">
        <f t="shared" si="16"/>
        <v>#DIV/0!</v>
      </c>
      <c r="E52" s="43">
        <f>'Факт ПС за 3 года'!K24*'Факт ПС за 3 года'!J24</f>
        <v>0</v>
      </c>
      <c r="F52" s="54"/>
      <c r="G52" s="66">
        <v>480.27</v>
      </c>
      <c r="H52" s="31">
        <f t="shared" si="14"/>
        <v>0</v>
      </c>
      <c r="I52" s="55">
        <f>G52*H52*$O$41*$Q$41/1000</f>
        <v>0</v>
      </c>
      <c r="J52" s="245">
        <v>6949</v>
      </c>
      <c r="K52" s="31">
        <f>'Факт ПС за 3 года'!R24</f>
        <v>0</v>
      </c>
      <c r="L52" s="31">
        <f t="shared" si="13"/>
        <v>0</v>
      </c>
      <c r="M52" s="36"/>
    </row>
    <row r="53" spans="1:18" ht="24.75" customHeight="1">
      <c r="A53" s="21"/>
      <c r="B53" s="184" t="s">
        <v>34</v>
      </c>
      <c r="C53" s="39" t="s">
        <v>35</v>
      </c>
      <c r="D53" s="27" t="e">
        <f t="shared" si="7"/>
        <v>#DIV/0!</v>
      </c>
      <c r="E53" s="28"/>
      <c r="F53" s="54"/>
      <c r="G53" s="65"/>
      <c r="H53" s="65"/>
      <c r="I53" s="55">
        <f>G53*H53*$O$41*$Q$41/1000</f>
        <v>0</v>
      </c>
      <c r="J53" s="245"/>
      <c r="K53" s="28"/>
      <c r="L53" s="31">
        <f>J53*K53/1000</f>
        <v>0</v>
      </c>
      <c r="M53" s="36"/>
    </row>
    <row r="54" spans="1:18" ht="18.75" customHeight="1">
      <c r="A54" s="21"/>
      <c r="B54" s="267" t="s">
        <v>48</v>
      </c>
      <c r="C54" s="267"/>
      <c r="D54" s="33"/>
      <c r="E54" s="33"/>
      <c r="F54" s="56"/>
      <c r="G54" s="67"/>
      <c r="H54" s="33"/>
      <c r="I54" s="56"/>
      <c r="J54" s="247"/>
      <c r="K54" s="33"/>
      <c r="L54" s="34"/>
    </row>
    <row r="55" spans="1:18">
      <c r="A55" s="21"/>
      <c r="B55" s="184" t="s">
        <v>49</v>
      </c>
      <c r="C55" s="39" t="s">
        <v>28</v>
      </c>
      <c r="D55" s="58"/>
      <c r="E55" s="88">
        <f>SUM(E56:E61)</f>
        <v>0</v>
      </c>
      <c r="F55" s="88">
        <f>SUM(F56:F61)</f>
        <v>0</v>
      </c>
      <c r="G55" s="66"/>
      <c r="H55" s="88">
        <f>SUM(H56:H61)</f>
        <v>0</v>
      </c>
      <c r="I55" s="88">
        <f>SUM(I56:I61)</f>
        <v>0</v>
      </c>
      <c r="J55" s="248"/>
      <c r="K55" s="88" t="e">
        <f>SUM(K56:K61)</f>
        <v>#DIV/0!</v>
      </c>
      <c r="L55" s="88" t="e">
        <f>SUM(L56:L61)</f>
        <v>#DIV/0!</v>
      </c>
      <c r="M55" s="213"/>
      <c r="N55" s="214"/>
      <c r="O55" s="214"/>
      <c r="P55" s="215"/>
      <c r="Q55" s="214"/>
      <c r="R55" s="214"/>
    </row>
    <row r="56" spans="1:18">
      <c r="A56" s="21"/>
      <c r="B56" s="184"/>
      <c r="C56" s="39" t="s">
        <v>190</v>
      </c>
      <c r="D56" s="27" t="e">
        <f>F56*1000/E56</f>
        <v>#DIV/0!</v>
      </c>
      <c r="E56" s="43">
        <f>'Факт ТП за 3 года'!J50</f>
        <v>0</v>
      </c>
      <c r="F56" s="54"/>
      <c r="G56" s="66">
        <v>160140.28</v>
      </c>
      <c r="H56" s="31">
        <f>E56</f>
        <v>0</v>
      </c>
      <c r="I56" s="55">
        <f>G56*H56*$P$39*$R$39/1000</f>
        <v>0</v>
      </c>
      <c r="J56" s="245">
        <v>884796</v>
      </c>
      <c r="K56" s="43" t="e">
        <f>'Факт ТП за 3 года'!D50</f>
        <v>#DIV/0!</v>
      </c>
      <c r="L56" s="31" t="e">
        <f>J56*K56</f>
        <v>#DIV/0!</v>
      </c>
      <c r="M56" s="216"/>
      <c r="N56" s="214"/>
      <c r="O56" s="217"/>
      <c r="P56" s="217"/>
      <c r="Q56" s="217"/>
      <c r="R56" s="217"/>
    </row>
    <row r="57" spans="1:18">
      <c r="A57" s="21"/>
      <c r="B57" s="184"/>
      <c r="C57" s="39" t="s">
        <v>191</v>
      </c>
      <c r="D57" s="27" t="e">
        <f t="shared" ref="D57:D61" si="17">F57*1000/E57</f>
        <v>#DIV/0!</v>
      </c>
      <c r="E57" s="43">
        <f>'Факт ТП за 3 года'!J51</f>
        <v>0</v>
      </c>
      <c r="F57" s="54"/>
      <c r="G57" s="66">
        <v>230448.16</v>
      </c>
      <c r="H57" s="31">
        <f t="shared" ref="H57:H61" si="18">E57</f>
        <v>0</v>
      </c>
      <c r="I57" s="55">
        <f t="shared" ref="I57:I61" si="19">G57*H57*$P$39*$R$39/1000</f>
        <v>0</v>
      </c>
      <c r="J57" s="245">
        <f>J56</f>
        <v>884796</v>
      </c>
      <c r="K57" s="43" t="e">
        <f>'Факт ТП за 3 года'!D51</f>
        <v>#DIV/0!</v>
      </c>
      <c r="L57" s="31" t="e">
        <f>J57*K57</f>
        <v>#DIV/0!</v>
      </c>
      <c r="M57" s="216"/>
      <c r="N57" s="214"/>
      <c r="O57" s="217"/>
      <c r="P57" s="217"/>
      <c r="Q57" s="217"/>
      <c r="R57" s="217"/>
    </row>
    <row r="58" spans="1:18">
      <c r="A58" s="21"/>
      <c r="B58" s="184"/>
      <c r="C58" s="39" t="s">
        <v>192</v>
      </c>
      <c r="D58" s="27" t="e">
        <f t="shared" si="17"/>
        <v>#DIV/0!</v>
      </c>
      <c r="E58" s="43">
        <f>'Факт ТП за 3 года'!J52</f>
        <v>0</v>
      </c>
      <c r="F58" s="54"/>
      <c r="G58" s="66">
        <v>230331.91</v>
      </c>
      <c r="H58" s="31">
        <f t="shared" si="18"/>
        <v>0</v>
      </c>
      <c r="I58" s="55">
        <f t="shared" si="19"/>
        <v>0</v>
      </c>
      <c r="J58" s="245">
        <v>1378956</v>
      </c>
      <c r="K58" s="43" t="e">
        <f>'Факт ТП за 3 года'!D52</f>
        <v>#DIV/0!</v>
      </c>
      <c r="L58" s="31" t="e">
        <f t="shared" ref="L58:L61" si="20">J58*K58</f>
        <v>#DIV/0!</v>
      </c>
      <c r="M58" s="216"/>
      <c r="N58" s="214"/>
      <c r="O58" s="217"/>
      <c r="P58" s="217"/>
      <c r="Q58" s="217"/>
      <c r="R58" s="217"/>
    </row>
    <row r="59" spans="1:18">
      <c r="A59" s="21"/>
      <c r="B59" s="184"/>
      <c r="C59" s="39" t="s">
        <v>193</v>
      </c>
      <c r="D59" s="27" t="e">
        <f t="shared" si="17"/>
        <v>#DIV/0!</v>
      </c>
      <c r="E59" s="43">
        <f>'Факт ТП за 3 года'!J53</f>
        <v>0</v>
      </c>
      <c r="F59" s="54"/>
      <c r="G59" s="66">
        <v>281329.75</v>
      </c>
      <c r="H59" s="31">
        <f t="shared" si="18"/>
        <v>0</v>
      </c>
      <c r="I59" s="55">
        <f t="shared" si="19"/>
        <v>0</v>
      </c>
      <c r="J59" s="245">
        <f>J58</f>
        <v>1378956</v>
      </c>
      <c r="K59" s="43" t="e">
        <f>'Факт ТП за 3 года'!D53</f>
        <v>#DIV/0!</v>
      </c>
      <c r="L59" s="31" t="e">
        <f t="shared" si="20"/>
        <v>#DIV/0!</v>
      </c>
      <c r="M59" s="216"/>
      <c r="N59" s="216"/>
      <c r="O59" s="216"/>
      <c r="P59" s="216"/>
      <c r="Q59" s="216"/>
      <c r="R59" s="216"/>
    </row>
    <row r="60" spans="1:18">
      <c r="A60" s="21"/>
      <c r="B60" s="184"/>
      <c r="C60" s="39" t="s">
        <v>194</v>
      </c>
      <c r="D60" s="27" t="e">
        <f t="shared" si="17"/>
        <v>#DIV/0!</v>
      </c>
      <c r="E60" s="43">
        <f>'Факт ТП за 3 года'!J54</f>
        <v>0</v>
      </c>
      <c r="F60" s="54"/>
      <c r="G60" s="66">
        <v>307436.89</v>
      </c>
      <c r="H60" s="31">
        <f t="shared" si="18"/>
        <v>0</v>
      </c>
      <c r="I60" s="55">
        <f t="shared" si="19"/>
        <v>0</v>
      </c>
      <c r="J60" s="245">
        <v>1660966</v>
      </c>
      <c r="K60" s="43" t="e">
        <f>'Факт ТП за 3 года'!D54</f>
        <v>#DIV/0!</v>
      </c>
      <c r="L60" s="31" t="e">
        <f t="shared" si="20"/>
        <v>#DIV/0!</v>
      </c>
    </row>
    <row r="61" spans="1:18">
      <c r="A61" s="21"/>
      <c r="B61" s="184"/>
      <c r="C61" s="39" t="s">
        <v>195</v>
      </c>
      <c r="D61" s="27" t="e">
        <f t="shared" si="17"/>
        <v>#DIV/0!</v>
      </c>
      <c r="E61" s="43">
        <f>'Факт ТП за 3 года'!J55</f>
        <v>0</v>
      </c>
      <c r="F61" s="54"/>
      <c r="G61" s="66">
        <v>326756.55</v>
      </c>
      <c r="H61" s="31">
        <f t="shared" si="18"/>
        <v>0</v>
      </c>
      <c r="I61" s="55">
        <f t="shared" si="19"/>
        <v>0</v>
      </c>
      <c r="J61" s="245">
        <v>1765351</v>
      </c>
      <c r="K61" s="43" t="e">
        <f>'Факт ТП за 3 года'!D55</f>
        <v>#DIV/0!</v>
      </c>
      <c r="L61" s="31" t="e">
        <f t="shared" si="20"/>
        <v>#DIV/0!</v>
      </c>
    </row>
    <row r="62" spans="1:18">
      <c r="A62" s="21"/>
      <c r="B62" s="184" t="s">
        <v>50</v>
      </c>
      <c r="C62" s="39" t="s">
        <v>30</v>
      </c>
      <c r="D62" s="49"/>
      <c r="E62" s="88">
        <f>SUM(E63:E70)</f>
        <v>0</v>
      </c>
      <c r="F62" s="88">
        <f>SUM(F63:F70)</f>
        <v>0</v>
      </c>
      <c r="G62" s="66"/>
      <c r="H62" s="88">
        <f>SUM(H63:H70)</f>
        <v>0</v>
      </c>
      <c r="I62" s="88">
        <f>SUM(I63:I70)</f>
        <v>0</v>
      </c>
      <c r="J62" s="248"/>
      <c r="K62" s="46" t="e">
        <f>SUM(K63:K70)</f>
        <v>#DIV/0!</v>
      </c>
      <c r="L62" s="46" t="e">
        <f>SUM(L63:L70)</f>
        <v>#DIV/0!</v>
      </c>
    </row>
    <row r="63" spans="1:18">
      <c r="A63" s="21"/>
      <c r="B63" s="184"/>
      <c r="C63" s="39" t="s">
        <v>196</v>
      </c>
      <c r="D63" s="27" t="e">
        <f t="shared" ref="D63" si="21">F63*1000/E63</f>
        <v>#DIV/0!</v>
      </c>
      <c r="E63" s="43">
        <f>'Факт ТП за 3 года'!J57</f>
        <v>0</v>
      </c>
      <c r="F63" s="54"/>
      <c r="G63" s="66">
        <v>349612.6</v>
      </c>
      <c r="H63" s="31">
        <f>E63</f>
        <v>0</v>
      </c>
      <c r="I63" s="55">
        <f>G63*H63*$P$40*$R$40/1000</f>
        <v>0</v>
      </c>
      <c r="J63" s="245">
        <v>1067179</v>
      </c>
      <c r="K63" s="43" t="e">
        <f>'Факт ТП за 3 года'!D57</f>
        <v>#DIV/0!</v>
      </c>
      <c r="L63" s="31" t="e">
        <f>J63*K63/1000</f>
        <v>#DIV/0!</v>
      </c>
    </row>
    <row r="64" spans="1:18">
      <c r="A64" s="21"/>
      <c r="B64" s="184"/>
      <c r="C64" s="39" t="s">
        <v>197</v>
      </c>
      <c r="D64" s="27" t="e">
        <f>F64*1000/E64</f>
        <v>#DIV/0!</v>
      </c>
      <c r="E64" s="43">
        <f>'Факт ТП за 3 года'!J58</f>
        <v>0</v>
      </c>
      <c r="F64" s="54"/>
      <c r="G64" s="66">
        <v>339575.48</v>
      </c>
      <c r="H64" s="31">
        <f t="shared" ref="H64:H70" si="22">E64</f>
        <v>0</v>
      </c>
      <c r="I64" s="55">
        <f t="shared" ref="I64:I70" si="23">G64*H64*$P$40*$R$40/1000</f>
        <v>0</v>
      </c>
      <c r="J64" s="245">
        <v>1563709</v>
      </c>
      <c r="K64" s="43" t="e">
        <f>'Факт ТП за 3 года'!D58</f>
        <v>#DIV/0!</v>
      </c>
      <c r="L64" s="31" t="e">
        <f t="shared" ref="L64:L70" si="24">J64*K64/1000</f>
        <v>#DIV/0!</v>
      </c>
    </row>
    <row r="65" spans="1:12">
      <c r="A65" s="21"/>
      <c r="B65" s="184"/>
      <c r="C65" s="39" t="s">
        <v>198</v>
      </c>
      <c r="D65" s="27" t="e">
        <f t="shared" ref="D65:D70" si="25">F65*1000/E65</f>
        <v>#DIV/0!</v>
      </c>
      <c r="E65" s="43">
        <f>'Факт ТП за 3 года'!J59</f>
        <v>0</v>
      </c>
      <c r="F65" s="54"/>
      <c r="G65" s="66">
        <v>402924.79999999999</v>
      </c>
      <c r="H65" s="31">
        <f t="shared" si="22"/>
        <v>0</v>
      </c>
      <c r="I65" s="55">
        <f t="shared" si="23"/>
        <v>0</v>
      </c>
      <c r="J65" s="245">
        <v>1678139</v>
      </c>
      <c r="K65" s="43" t="e">
        <f>'Факт ТП за 3 года'!D59</f>
        <v>#DIV/0!</v>
      </c>
      <c r="L65" s="31" t="e">
        <f t="shared" si="24"/>
        <v>#DIV/0!</v>
      </c>
    </row>
    <row r="66" spans="1:12">
      <c r="A66" s="21"/>
      <c r="B66" s="184"/>
      <c r="C66" s="39" t="s">
        <v>199</v>
      </c>
      <c r="D66" s="27" t="e">
        <f t="shared" si="25"/>
        <v>#DIV/0!</v>
      </c>
      <c r="E66" s="43">
        <f>'Факт ТП за 3 года'!J60</f>
        <v>0</v>
      </c>
      <c r="F66" s="54"/>
      <c r="G66" s="66">
        <v>511959.36</v>
      </c>
      <c r="H66" s="31">
        <f t="shared" si="22"/>
        <v>0</v>
      </c>
      <c r="I66" s="55">
        <f t="shared" si="23"/>
        <v>0</v>
      </c>
      <c r="J66" s="245">
        <v>2233006</v>
      </c>
      <c r="K66" s="43" t="e">
        <f>'Факт ТП за 3 года'!D60</f>
        <v>#DIV/0!</v>
      </c>
      <c r="L66" s="31" t="e">
        <f t="shared" si="24"/>
        <v>#DIV/0!</v>
      </c>
    </row>
    <row r="67" spans="1:12">
      <c r="A67" s="21"/>
      <c r="B67" s="184"/>
      <c r="C67" s="39" t="s">
        <v>200</v>
      </c>
      <c r="D67" s="27" t="e">
        <f t="shared" si="25"/>
        <v>#DIV/0!</v>
      </c>
      <c r="E67" s="43">
        <f>'Факт ТП за 3 года'!J61</f>
        <v>0</v>
      </c>
      <c r="F67" s="54"/>
      <c r="G67" s="66">
        <f>G30</f>
        <v>457009.94</v>
      </c>
      <c r="H67" s="31">
        <f t="shared" si="22"/>
        <v>0</v>
      </c>
      <c r="I67" s="55">
        <f t="shared" si="23"/>
        <v>0</v>
      </c>
      <c r="J67" s="245">
        <v>1690274</v>
      </c>
      <c r="K67" s="43" t="e">
        <f>'Факт ТП за 3 года'!D61</f>
        <v>#DIV/0!</v>
      </c>
      <c r="L67" s="31" t="e">
        <f t="shared" si="24"/>
        <v>#DIV/0!</v>
      </c>
    </row>
    <row r="68" spans="1:12">
      <c r="A68" s="21"/>
      <c r="B68" s="184"/>
      <c r="C68" s="39" t="s">
        <v>201</v>
      </c>
      <c r="D68" s="27" t="e">
        <f t="shared" si="25"/>
        <v>#DIV/0!</v>
      </c>
      <c r="E68" s="43">
        <f>'Факт ТП за 3 года'!J62</f>
        <v>0</v>
      </c>
      <c r="F68" s="54"/>
      <c r="G68" s="66">
        <f t="shared" ref="G68:G70" si="26">G31</f>
        <v>492138.38</v>
      </c>
      <c r="H68" s="31">
        <f t="shared" si="22"/>
        <v>0</v>
      </c>
      <c r="I68" s="55">
        <f t="shared" si="23"/>
        <v>0</v>
      </c>
      <c r="J68" s="245">
        <v>2396014</v>
      </c>
      <c r="K68" s="43" t="e">
        <f>'Факт ТП за 3 года'!D62</f>
        <v>#DIV/0!</v>
      </c>
      <c r="L68" s="31" t="e">
        <f t="shared" si="24"/>
        <v>#DIV/0!</v>
      </c>
    </row>
    <row r="69" spans="1:12">
      <c r="A69" s="21"/>
      <c r="B69" s="184"/>
      <c r="C69" s="39" t="s">
        <v>202</v>
      </c>
      <c r="D69" s="27" t="e">
        <f t="shared" si="25"/>
        <v>#DIV/0!</v>
      </c>
      <c r="E69" s="43">
        <f>'Факт ТП за 3 года'!J63</f>
        <v>0</v>
      </c>
      <c r="F69" s="54"/>
      <c r="G69" s="66">
        <f t="shared" si="26"/>
        <v>615152.36</v>
      </c>
      <c r="H69" s="31">
        <f>E69</f>
        <v>0</v>
      </c>
      <c r="I69" s="55">
        <f t="shared" si="23"/>
        <v>0</v>
      </c>
      <c r="J69" s="245">
        <v>2859064</v>
      </c>
      <c r="K69" s="43" t="e">
        <f>'Факт ТП за 3 года'!D63</f>
        <v>#DIV/0!</v>
      </c>
      <c r="L69" s="31" t="e">
        <f t="shared" si="24"/>
        <v>#DIV/0!</v>
      </c>
    </row>
    <row r="70" spans="1:12">
      <c r="A70" s="21"/>
      <c r="B70" s="184"/>
      <c r="C70" s="39" t="s">
        <v>203</v>
      </c>
      <c r="D70" s="27" t="e">
        <f t="shared" si="25"/>
        <v>#DIV/0!</v>
      </c>
      <c r="E70" s="43">
        <f>'Факт ТП за 3 года'!J64</f>
        <v>0</v>
      </c>
      <c r="F70" s="54"/>
      <c r="G70" s="66">
        <f t="shared" si="26"/>
        <v>781617.34</v>
      </c>
      <c r="H70" s="31">
        <f t="shared" si="22"/>
        <v>0</v>
      </c>
      <c r="I70" s="55">
        <f t="shared" si="23"/>
        <v>0</v>
      </c>
      <c r="J70" s="245">
        <v>3536794</v>
      </c>
      <c r="K70" s="43" t="e">
        <f>'Факт ТП за 3 года'!D64</f>
        <v>#DIV/0!</v>
      </c>
      <c r="L70" s="31" t="e">
        <f t="shared" si="24"/>
        <v>#DIV/0!</v>
      </c>
    </row>
    <row r="71" spans="1:12">
      <c r="A71" s="21"/>
      <c r="B71" s="184" t="s">
        <v>51</v>
      </c>
      <c r="C71" s="39" t="s">
        <v>44</v>
      </c>
      <c r="D71" s="49"/>
      <c r="E71" s="88">
        <f>SUM(E72:E73)</f>
        <v>0</v>
      </c>
      <c r="F71" s="88">
        <f>SUM(F72:F73)</f>
        <v>0</v>
      </c>
      <c r="H71" s="88">
        <f>SUM(H72:H73)</f>
        <v>0</v>
      </c>
      <c r="I71" s="88">
        <f>SUM(I72:I73)</f>
        <v>0</v>
      </c>
      <c r="J71" s="246"/>
      <c r="K71" s="88" t="e">
        <f>SUM(K72:K73)</f>
        <v>#DIV/0!</v>
      </c>
      <c r="L71" s="88" t="e">
        <f>SUM(L72:L73)</f>
        <v>#DIV/0!</v>
      </c>
    </row>
    <row r="72" spans="1:12">
      <c r="A72" s="21"/>
      <c r="B72" s="184"/>
      <c r="C72" s="39" t="s">
        <v>204</v>
      </c>
      <c r="D72" s="27" t="e">
        <f t="shared" ref="D72:D73" si="27">F72*1000/E72</f>
        <v>#DIV/0!</v>
      </c>
      <c r="E72" s="43">
        <f>'Факт ТП за 3 года'!J66</f>
        <v>0</v>
      </c>
      <c r="F72" s="54"/>
      <c r="G72" s="66">
        <v>75.989999999999995</v>
      </c>
      <c r="H72" s="31">
        <f>E72</f>
        <v>0</v>
      </c>
      <c r="I72" s="55">
        <f t="shared" ref="I72:I73" si="28">G72*H72*$P$41*$R$41/1000</f>
        <v>0</v>
      </c>
      <c r="J72" s="245">
        <v>162950</v>
      </c>
      <c r="K72" s="43" t="e">
        <f>'Факт ТП за 3 года'!D66</f>
        <v>#DIV/0!</v>
      </c>
      <c r="L72" s="31" t="e">
        <f>J72*K72</f>
        <v>#DIV/0!</v>
      </c>
    </row>
    <row r="73" spans="1:12">
      <c r="A73" s="21"/>
      <c r="B73" s="184"/>
      <c r="C73" s="39" t="s">
        <v>205</v>
      </c>
      <c r="D73" s="27" t="e">
        <f t="shared" si="27"/>
        <v>#DIV/0!</v>
      </c>
      <c r="E73" s="43">
        <f>'Факт ТП за 3 года'!J67</f>
        <v>0</v>
      </c>
      <c r="F73" s="54"/>
      <c r="G73" s="66">
        <v>306.64999999999998</v>
      </c>
      <c r="H73" s="31">
        <f t="shared" ref="H73" si="29">E73</f>
        <v>0</v>
      </c>
      <c r="I73" s="55">
        <f t="shared" si="28"/>
        <v>0</v>
      </c>
      <c r="J73" s="245">
        <v>2306523</v>
      </c>
      <c r="K73" s="43" t="e">
        <f>'Факт ТП за 3 года'!D67</f>
        <v>#DIV/0!</v>
      </c>
      <c r="L73" s="31" t="e">
        <f>J73*K73</f>
        <v>#DIV/0!</v>
      </c>
    </row>
    <row r="74" spans="1:12" ht="48">
      <c r="A74" s="21"/>
      <c r="B74" s="184" t="s">
        <v>52</v>
      </c>
      <c r="C74" s="39" t="s">
        <v>33</v>
      </c>
      <c r="D74" s="58"/>
      <c r="E74" s="46">
        <f>SUM(E75:E89)</f>
        <v>0</v>
      </c>
      <c r="F74" s="46">
        <f>SUM(F75:F89)</f>
        <v>0</v>
      </c>
      <c r="G74" s="66"/>
      <c r="H74" s="46">
        <f>SUM(H75:H89)</f>
        <v>0</v>
      </c>
      <c r="I74" s="46">
        <f>SUM(I75:I89)</f>
        <v>0</v>
      </c>
      <c r="J74" s="249"/>
      <c r="K74" s="46">
        <f>SUM(K75:K89)</f>
        <v>0</v>
      </c>
      <c r="L74" s="46">
        <f>SUM(L75:L89)</f>
        <v>0</v>
      </c>
    </row>
    <row r="75" spans="1:12">
      <c r="A75" s="21"/>
      <c r="B75" s="184"/>
      <c r="C75" s="39" t="s">
        <v>55</v>
      </c>
      <c r="D75" s="27" t="e">
        <f t="shared" ref="D75:D80" si="30">F75*1000/E75</f>
        <v>#DIV/0!</v>
      </c>
      <c r="E75" s="43">
        <f>'Факт ПС за 3 года'!K26*'Факт ПС за 3 года'!J26</f>
        <v>0</v>
      </c>
      <c r="F75" s="54"/>
      <c r="G75" s="66">
        <v>1213.32</v>
      </c>
      <c r="H75" s="31">
        <f>E75</f>
        <v>0</v>
      </c>
      <c r="I75" s="55">
        <f>G75*H75*$P$41*$R$41/1000</f>
        <v>0</v>
      </c>
      <c r="J75" s="245">
        <v>5909</v>
      </c>
      <c r="K75" s="31">
        <f>'Факт ПС за 3 года'!R26</f>
        <v>0</v>
      </c>
      <c r="L75" s="31">
        <f t="shared" ref="L75:L89" si="31">J75*K75</f>
        <v>0</v>
      </c>
    </row>
    <row r="76" spans="1:12">
      <c r="A76" s="21"/>
      <c r="B76" s="184"/>
      <c r="C76" s="39" t="s">
        <v>206</v>
      </c>
      <c r="D76" s="27" t="e">
        <f t="shared" si="30"/>
        <v>#DIV/0!</v>
      </c>
      <c r="E76" s="43">
        <f>'Факт ПС за 3 года'!K27*'Факт ПС за 3 года'!J27</f>
        <v>0</v>
      </c>
      <c r="F76" s="54"/>
      <c r="G76" s="66">
        <v>776.94</v>
      </c>
      <c r="H76" s="31">
        <f t="shared" ref="H76:H89" si="32">E76</f>
        <v>0</v>
      </c>
      <c r="I76" s="55">
        <f t="shared" ref="I76:I89" si="33">G76*H76*$P$41*$R$41/1000</f>
        <v>0</v>
      </c>
      <c r="J76" s="245">
        <v>3693</v>
      </c>
      <c r="K76" s="31">
        <f>'Факт ПС за 3 года'!R27</f>
        <v>0</v>
      </c>
      <c r="L76" s="31">
        <f t="shared" si="31"/>
        <v>0</v>
      </c>
    </row>
    <row r="77" spans="1:12">
      <c r="A77" s="21"/>
      <c r="B77" s="184"/>
      <c r="C77" s="39" t="s">
        <v>54</v>
      </c>
      <c r="D77" s="27" t="e">
        <f t="shared" si="30"/>
        <v>#DIV/0!</v>
      </c>
      <c r="E77" s="43">
        <f>'Факт ПС за 3 года'!K28*'Факт ПС за 3 года'!J28</f>
        <v>0</v>
      </c>
      <c r="F77" s="54"/>
      <c r="G77" s="66">
        <v>672.8</v>
      </c>
      <c r="H77" s="31">
        <f t="shared" si="32"/>
        <v>0</v>
      </c>
      <c r="I77" s="55">
        <f t="shared" si="33"/>
        <v>0</v>
      </c>
      <c r="J77" s="245">
        <v>3198</v>
      </c>
      <c r="K77" s="31">
        <f>'Факт ПС за 3 года'!R28</f>
        <v>0</v>
      </c>
      <c r="L77" s="31">
        <f t="shared" si="31"/>
        <v>0</v>
      </c>
    </row>
    <row r="78" spans="1:12">
      <c r="A78" s="21"/>
      <c r="B78" s="184"/>
      <c r="C78" s="39" t="s">
        <v>45</v>
      </c>
      <c r="D78" s="27" t="e">
        <f t="shared" si="30"/>
        <v>#DIV/0!</v>
      </c>
      <c r="E78" s="43">
        <f>'Факт ПС за 3 года'!K29*'Факт ПС за 3 года'!J29</f>
        <v>0</v>
      </c>
      <c r="F78" s="54"/>
      <c r="G78" s="66">
        <v>583.61</v>
      </c>
      <c r="H78" s="31">
        <f t="shared" si="32"/>
        <v>0</v>
      </c>
      <c r="I78" s="55">
        <f t="shared" si="33"/>
        <v>0</v>
      </c>
      <c r="J78" s="245">
        <v>2619</v>
      </c>
      <c r="K78" s="31">
        <f>'Факт ПС за 3 года'!R29</f>
        <v>0</v>
      </c>
      <c r="L78" s="31">
        <f t="shared" si="31"/>
        <v>0</v>
      </c>
    </row>
    <row r="79" spans="1:12">
      <c r="A79" s="21"/>
      <c r="B79" s="184"/>
      <c r="C79" s="39" t="s">
        <v>46</v>
      </c>
      <c r="D79" s="27" t="e">
        <f t="shared" si="30"/>
        <v>#DIV/0!</v>
      </c>
      <c r="E79" s="43">
        <f>'Факт ПС за 3 года'!K30*'Факт ПС за 3 года'!J30</f>
        <v>0</v>
      </c>
      <c r="F79" s="54"/>
      <c r="G79" s="66">
        <v>338.67</v>
      </c>
      <c r="H79" s="31">
        <f t="shared" si="32"/>
        <v>0</v>
      </c>
      <c r="I79" s="55">
        <f t="shared" si="33"/>
        <v>0</v>
      </c>
      <c r="J79" s="245">
        <v>2229</v>
      </c>
      <c r="K79" s="31">
        <f>'Факт ПС за 3 года'!R30</f>
        <v>0</v>
      </c>
      <c r="L79" s="31">
        <f t="shared" si="31"/>
        <v>0</v>
      </c>
    </row>
    <row r="80" spans="1:12">
      <c r="A80" s="21"/>
      <c r="B80" s="184"/>
      <c r="C80" s="39" t="s">
        <v>47</v>
      </c>
      <c r="D80" s="27" t="e">
        <f t="shared" si="30"/>
        <v>#DIV/0!</v>
      </c>
      <c r="E80" s="43">
        <f>'Факт ПС за 3 года'!K31*'Факт ПС за 3 года'!J31</f>
        <v>0</v>
      </c>
      <c r="F80" s="54"/>
      <c r="G80" s="66">
        <v>321.12</v>
      </c>
      <c r="H80" s="31">
        <f t="shared" si="32"/>
        <v>0</v>
      </c>
      <c r="I80" s="55">
        <f>G80*H80*$P$41*$R$41/1000</f>
        <v>0</v>
      </c>
      <c r="J80" s="245">
        <v>2699</v>
      </c>
      <c r="K80" s="31">
        <f>'Факт ПС за 3 года'!R31</f>
        <v>0</v>
      </c>
      <c r="L80" s="31">
        <f>J80*K80</f>
        <v>0</v>
      </c>
    </row>
    <row r="81" spans="1:12">
      <c r="A81" s="21"/>
      <c r="B81" s="184"/>
      <c r="C81" s="39" t="s">
        <v>207</v>
      </c>
      <c r="D81" s="27" t="e">
        <f>F81*1000/E81</f>
        <v>#DIV/0!</v>
      </c>
      <c r="E81" s="43">
        <f>'Факт ПС за 3 года'!K32*'Факт ПС за 3 года'!J32</f>
        <v>0</v>
      </c>
      <c r="F81" s="54"/>
      <c r="G81" s="66">
        <v>214.76</v>
      </c>
      <c r="H81" s="31">
        <f t="shared" si="32"/>
        <v>0</v>
      </c>
      <c r="I81" s="55">
        <f t="shared" si="33"/>
        <v>0</v>
      </c>
      <c r="J81" s="245">
        <v>2270</v>
      </c>
      <c r="K81" s="31">
        <f>'Факт ПС за 3 года'!R32</f>
        <v>0</v>
      </c>
      <c r="L81" s="31">
        <f t="shared" si="31"/>
        <v>0</v>
      </c>
    </row>
    <row r="82" spans="1:12">
      <c r="A82" s="21"/>
      <c r="B82" s="184"/>
      <c r="C82" s="39" t="s">
        <v>208</v>
      </c>
      <c r="D82" s="27" t="e">
        <f t="shared" ref="D82:D89" si="34">F82*1000/E82</f>
        <v>#DIV/0!</v>
      </c>
      <c r="E82" s="43">
        <f>'Факт ПС за 3 года'!K33*'Факт ПС за 3 года'!J33</f>
        <v>0</v>
      </c>
      <c r="F82" s="54"/>
      <c r="G82" s="66">
        <v>205.1</v>
      </c>
      <c r="H82" s="31">
        <f t="shared" si="32"/>
        <v>0</v>
      </c>
      <c r="I82" s="55">
        <f t="shared" si="33"/>
        <v>0</v>
      </c>
      <c r="J82" s="245">
        <v>1664</v>
      </c>
      <c r="K82" s="31">
        <f>'Факт ПС за 3 года'!R33</f>
        <v>0</v>
      </c>
      <c r="L82" s="31">
        <f t="shared" si="31"/>
        <v>0</v>
      </c>
    </row>
    <row r="83" spans="1:12">
      <c r="A83" s="21"/>
      <c r="B83" s="184"/>
      <c r="C83" s="39" t="s">
        <v>59</v>
      </c>
      <c r="D83" s="27" t="e">
        <f t="shared" si="34"/>
        <v>#DIV/0!</v>
      </c>
      <c r="E83" s="43">
        <f>'Факт ПС за 3 года'!K34*'Факт ПС за 3 года'!J34</f>
        <v>0</v>
      </c>
      <c r="F83" s="54"/>
      <c r="G83" s="66">
        <v>151.63999999999999</v>
      </c>
      <c r="H83" s="31">
        <f t="shared" si="32"/>
        <v>0</v>
      </c>
      <c r="I83" s="55">
        <f t="shared" si="33"/>
        <v>0</v>
      </c>
      <c r="J83" s="245">
        <v>1424</v>
      </c>
      <c r="K83" s="31">
        <f>'Факт ПС за 3 года'!R34</f>
        <v>0</v>
      </c>
      <c r="L83" s="31">
        <f t="shared" si="31"/>
        <v>0</v>
      </c>
    </row>
    <row r="84" spans="1:12">
      <c r="A84" s="21"/>
      <c r="B84" s="184"/>
      <c r="C84" s="39" t="s">
        <v>60</v>
      </c>
      <c r="D84" s="27" t="e">
        <f t="shared" si="34"/>
        <v>#DIV/0!</v>
      </c>
      <c r="E84" s="43">
        <f>'Факт ПС за 3 года'!K35*'Факт ПС за 3 года'!J35</f>
        <v>0</v>
      </c>
      <c r="F84" s="54"/>
      <c r="G84" s="66">
        <v>2109.42</v>
      </c>
      <c r="H84" s="31">
        <f t="shared" si="32"/>
        <v>0</v>
      </c>
      <c r="I84" s="55">
        <f t="shared" si="33"/>
        <v>0</v>
      </c>
      <c r="J84" s="245">
        <v>19447</v>
      </c>
      <c r="K84" s="31">
        <f>'Факт ПС за 3 года'!R35</f>
        <v>0</v>
      </c>
      <c r="L84" s="31">
        <f t="shared" si="31"/>
        <v>0</v>
      </c>
    </row>
    <row r="85" spans="1:12">
      <c r="A85" s="21"/>
      <c r="B85" s="184"/>
      <c r="C85" s="39" t="s">
        <v>61</v>
      </c>
      <c r="D85" s="27" t="e">
        <f t="shared" si="34"/>
        <v>#DIV/0!</v>
      </c>
      <c r="E85" s="43">
        <f>'Факт ПС за 3 года'!K36*'Факт ПС за 3 года'!J36</f>
        <v>0</v>
      </c>
      <c r="F85" s="54"/>
      <c r="G85" s="66">
        <v>1930.99</v>
      </c>
      <c r="H85" s="31">
        <f t="shared" si="32"/>
        <v>0</v>
      </c>
      <c r="I85" s="55">
        <f>G85*H85*$P$41*$R$41/1000</f>
        <v>0</v>
      </c>
      <c r="J85" s="245">
        <v>28916</v>
      </c>
      <c r="K85" s="31">
        <f>'Факт ПС за 3 года'!R36</f>
        <v>0</v>
      </c>
      <c r="L85" s="31">
        <f t="shared" si="31"/>
        <v>0</v>
      </c>
    </row>
    <row r="86" spans="1:12">
      <c r="A86" s="21"/>
      <c r="B86" s="184"/>
      <c r="C86" s="39" t="s">
        <v>209</v>
      </c>
      <c r="D86" s="27" t="e">
        <f t="shared" si="34"/>
        <v>#DIV/0!</v>
      </c>
      <c r="E86" s="43">
        <f>'Факт ПС за 3 года'!K37*'Факт ПС за 3 года'!J37</f>
        <v>0</v>
      </c>
      <c r="F86" s="54"/>
      <c r="G86" s="66">
        <v>1843.97</v>
      </c>
      <c r="H86" s="31">
        <f t="shared" si="32"/>
        <v>0</v>
      </c>
      <c r="I86" s="55">
        <f t="shared" si="33"/>
        <v>0</v>
      </c>
      <c r="J86" s="245">
        <v>24675</v>
      </c>
      <c r="K86" s="31">
        <f>'Факт ПС за 3 года'!R37</f>
        <v>0</v>
      </c>
      <c r="L86" s="31">
        <f t="shared" si="31"/>
        <v>0</v>
      </c>
    </row>
    <row r="87" spans="1:12">
      <c r="A87" s="21"/>
      <c r="B87" s="184"/>
      <c r="C87" s="39" t="s">
        <v>210</v>
      </c>
      <c r="D87" s="27" t="e">
        <f t="shared" si="34"/>
        <v>#DIV/0!</v>
      </c>
      <c r="E87" s="43">
        <f>'Факт ПС за 3 года'!K38*'Факт ПС за 3 года'!J38</f>
        <v>0</v>
      </c>
      <c r="F87" s="54"/>
      <c r="G87" s="66">
        <v>988.3</v>
      </c>
      <c r="H87" s="31">
        <f t="shared" si="32"/>
        <v>0</v>
      </c>
      <c r="I87" s="55">
        <f t="shared" si="33"/>
        <v>0</v>
      </c>
      <c r="J87" s="245">
        <v>14788</v>
      </c>
      <c r="K87" s="31">
        <f>'Факт ПС за 3 года'!R38</f>
        <v>0</v>
      </c>
      <c r="L87" s="31">
        <f t="shared" si="31"/>
        <v>0</v>
      </c>
    </row>
    <row r="88" spans="1:12">
      <c r="A88" s="21"/>
      <c r="B88" s="184"/>
      <c r="C88" s="39" t="s">
        <v>211</v>
      </c>
      <c r="D88" s="27" t="e">
        <f t="shared" si="34"/>
        <v>#DIV/0!</v>
      </c>
      <c r="E88" s="43">
        <f>'Факт ПС за 3 года'!K39*'Факт ПС за 3 года'!J39</f>
        <v>0</v>
      </c>
      <c r="F88" s="54"/>
      <c r="G88" s="66">
        <v>601.14</v>
      </c>
      <c r="H88" s="31">
        <f t="shared" si="32"/>
        <v>0</v>
      </c>
      <c r="I88" s="55">
        <f t="shared" si="33"/>
        <v>0</v>
      </c>
      <c r="J88" s="245">
        <v>12201</v>
      </c>
      <c r="K88" s="31">
        <f>'Факт ПС за 3 года'!R39</f>
        <v>0</v>
      </c>
      <c r="L88" s="31">
        <f t="shared" si="31"/>
        <v>0</v>
      </c>
    </row>
    <row r="89" spans="1:12">
      <c r="A89" s="21"/>
      <c r="B89" s="184"/>
      <c r="C89" s="39" t="s">
        <v>212</v>
      </c>
      <c r="D89" s="27" t="e">
        <f t="shared" si="34"/>
        <v>#DIV/0!</v>
      </c>
      <c r="E89" s="43">
        <f>'Факт ПС за 3 года'!K40*'Факт ПС за 3 года'!J40</f>
        <v>0</v>
      </c>
      <c r="F89" s="54"/>
      <c r="G89" s="66">
        <v>480.27</v>
      </c>
      <c r="H89" s="31">
        <f t="shared" si="32"/>
        <v>0</v>
      </c>
      <c r="I89" s="55">
        <f t="shared" si="33"/>
        <v>0</v>
      </c>
      <c r="J89" s="245">
        <v>8140</v>
      </c>
      <c r="K89" s="31">
        <f>'Факт ПС за 3 года'!R40</f>
        <v>0</v>
      </c>
      <c r="L89" s="31">
        <f t="shared" si="31"/>
        <v>0</v>
      </c>
    </row>
    <row r="90" spans="1:12" ht="24">
      <c r="A90" s="21"/>
      <c r="B90" s="184" t="s">
        <v>53</v>
      </c>
      <c r="C90" s="39" t="s">
        <v>35</v>
      </c>
      <c r="D90" s="27" t="e">
        <f t="shared" ref="D90" si="35">F90*1000/E90</f>
        <v>#DIV/0!</v>
      </c>
      <c r="E90" s="28"/>
      <c r="F90" s="54"/>
      <c r="G90" s="65"/>
      <c r="H90" s="65"/>
      <c r="I90" s="55">
        <f>G90*H90*$P$41*$R$41/1000</f>
        <v>0</v>
      </c>
      <c r="J90" s="245"/>
      <c r="K90" s="28"/>
      <c r="L90" s="31">
        <f>J90*K90/1000</f>
        <v>0</v>
      </c>
    </row>
    <row r="91" spans="1:12" ht="26.25" customHeight="1">
      <c r="A91" s="21"/>
      <c r="B91" s="25" t="s">
        <v>19</v>
      </c>
      <c r="C91" s="44" t="s">
        <v>36</v>
      </c>
      <c r="D91" s="58"/>
      <c r="E91" s="35"/>
      <c r="F91" s="53">
        <f>F92*F93/1000</f>
        <v>0</v>
      </c>
      <c r="G91" s="69"/>
      <c r="H91" s="35"/>
      <c r="I91" s="53">
        <f>I92*I93/1000</f>
        <v>0</v>
      </c>
      <c r="J91" s="248"/>
      <c r="K91" s="35"/>
      <c r="L91" s="43">
        <f>L92*L93/1000</f>
        <v>0</v>
      </c>
    </row>
    <row r="92" spans="1:12" ht="28.5" customHeight="1">
      <c r="A92" s="21"/>
      <c r="B92" s="184" t="s">
        <v>37</v>
      </c>
      <c r="C92" s="39" t="s">
        <v>38</v>
      </c>
      <c r="D92" s="58"/>
      <c r="E92" s="35"/>
      <c r="F92" s="54"/>
      <c r="G92" s="69"/>
      <c r="H92" s="35"/>
      <c r="I92" s="53">
        <f>F92</f>
        <v>0</v>
      </c>
      <c r="J92" s="58"/>
      <c r="K92" s="35"/>
      <c r="L92" s="65"/>
    </row>
    <row r="93" spans="1:12" ht="100.5" customHeight="1">
      <c r="A93" s="21"/>
      <c r="B93" s="184" t="s">
        <v>39</v>
      </c>
      <c r="C93" s="39" t="s">
        <v>225</v>
      </c>
      <c r="D93" s="58"/>
      <c r="E93" s="35"/>
      <c r="F93" s="54"/>
      <c r="G93" s="69"/>
      <c r="H93" s="35"/>
      <c r="I93" s="53">
        <f>F93</f>
        <v>0</v>
      </c>
      <c r="J93" s="58"/>
      <c r="K93" s="35"/>
      <c r="L93" s="65"/>
    </row>
    <row r="94" spans="1:12" ht="48.75" customHeight="1">
      <c r="A94" s="21"/>
      <c r="B94" s="25" t="s">
        <v>20</v>
      </c>
      <c r="C94" s="44" t="s">
        <v>40</v>
      </c>
      <c r="D94" s="35"/>
      <c r="E94" s="35"/>
      <c r="F94" s="70">
        <f>F13+F16-F91</f>
        <v>0</v>
      </c>
      <c r="G94" s="69"/>
      <c r="H94" s="35"/>
      <c r="I94" s="70">
        <f>I13+I16-I91</f>
        <v>0</v>
      </c>
      <c r="J94" s="58"/>
      <c r="K94" s="35"/>
      <c r="L94" s="71" t="e">
        <f>L13+L16-L91</f>
        <v>#DIV/0!</v>
      </c>
    </row>
    <row r="97" spans="2:5">
      <c r="B97" s="241" t="s">
        <v>6</v>
      </c>
      <c r="C97" s="240" t="s">
        <v>7</v>
      </c>
      <c r="D97" s="191"/>
      <c r="E97" s="243"/>
    </row>
    <row r="98" spans="2:5" ht="15">
      <c r="B98" s="239"/>
      <c r="C98" s="240" t="s">
        <v>8</v>
      </c>
      <c r="D98" s="240"/>
      <c r="E98" s="242" t="s">
        <v>243</v>
      </c>
    </row>
  </sheetData>
  <mergeCells count="7">
    <mergeCell ref="G9:I9"/>
    <mergeCell ref="J9:L9"/>
    <mergeCell ref="B17:C17"/>
    <mergeCell ref="B54:C54"/>
    <mergeCell ref="B9:B11"/>
    <mergeCell ref="C9:C11"/>
    <mergeCell ref="D9:F9"/>
  </mergeCells>
  <pageMargins left="0.78740157480314965" right="0.39370078740157483" top="0.39370078740157483" bottom="0.39370078740157483" header="0.31496062992125984" footer="0.31496062992125984"/>
  <pageSetup paperSize="9" scale="52" fitToHeight="0" orientation="portrait" horizontalDpi="180" verticalDpi="180" r:id="rId1"/>
  <rowBreaks count="1" manualBreakCount="1">
    <brk id="53" min="1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V44"/>
  <sheetViews>
    <sheetView view="pageBreakPreview" topLeftCell="A19" zoomScale="80" zoomScaleNormal="80" zoomScaleSheetLayoutView="80" workbookViewId="0">
      <selection activeCell="K26" sqref="K26"/>
    </sheetView>
  </sheetViews>
  <sheetFormatPr defaultColWidth="8.7109375" defaultRowHeight="12.75" outlineLevelRow="1"/>
  <cols>
    <col min="1" max="1" width="5.42578125" style="91" customWidth="1"/>
    <col min="2" max="2" width="5.140625" style="90" customWidth="1"/>
    <col min="3" max="3" width="17.42578125" style="90" customWidth="1"/>
    <col min="4" max="4" width="22.42578125" style="90" customWidth="1"/>
    <col min="5" max="9" width="12.42578125" style="90" customWidth="1"/>
    <col min="10" max="10" width="19.140625" style="91" customWidth="1"/>
    <col min="11" max="11" width="19.85546875" style="91" customWidth="1"/>
    <col min="12" max="12" width="12.28515625" style="92" customWidth="1"/>
    <col min="13" max="14" width="12.28515625" style="91" customWidth="1"/>
    <col min="15" max="15" width="12.85546875" style="91" customWidth="1"/>
    <col min="16" max="16" width="12" style="91" customWidth="1"/>
    <col min="17" max="17" width="12.5703125" style="91" customWidth="1"/>
    <col min="18" max="18" width="12.28515625" style="91" customWidth="1"/>
    <col min="19" max="19" width="12.140625" style="91" customWidth="1"/>
    <col min="20" max="21" width="12.28515625" style="91" customWidth="1"/>
    <col min="22" max="22" width="21.140625" style="91" customWidth="1"/>
    <col min="23" max="259" width="8.7109375" style="91"/>
    <col min="260" max="260" width="41.7109375" style="91" customWidth="1"/>
    <col min="261" max="265" width="15.85546875" style="91" customWidth="1"/>
    <col min="266" max="266" width="20.42578125" style="91" customWidth="1"/>
    <col min="267" max="267" width="19.85546875" style="91" customWidth="1"/>
    <col min="268" max="270" width="12.28515625" style="91" customWidth="1"/>
    <col min="271" max="271" width="12.85546875" style="91" customWidth="1"/>
    <col min="272" max="272" width="12" style="91" customWidth="1"/>
    <col min="273" max="273" width="12.5703125" style="91" customWidth="1"/>
    <col min="274" max="274" width="12.28515625" style="91" customWidth="1"/>
    <col min="275" max="275" width="12.140625" style="91" customWidth="1"/>
    <col min="276" max="277" width="12.28515625" style="91" customWidth="1"/>
    <col min="278" max="278" width="21.140625" style="91" customWidth="1"/>
    <col min="279" max="515" width="8.7109375" style="91"/>
    <col min="516" max="516" width="41.7109375" style="91" customWidth="1"/>
    <col min="517" max="521" width="15.85546875" style="91" customWidth="1"/>
    <col min="522" max="522" width="20.42578125" style="91" customWidth="1"/>
    <col min="523" max="523" width="19.85546875" style="91" customWidth="1"/>
    <col min="524" max="526" width="12.28515625" style="91" customWidth="1"/>
    <col min="527" max="527" width="12.85546875" style="91" customWidth="1"/>
    <col min="528" max="528" width="12" style="91" customWidth="1"/>
    <col min="529" max="529" width="12.5703125" style="91" customWidth="1"/>
    <col min="530" max="530" width="12.28515625" style="91" customWidth="1"/>
    <col min="531" max="531" width="12.140625" style="91" customWidth="1"/>
    <col min="532" max="533" width="12.28515625" style="91" customWidth="1"/>
    <col min="534" max="534" width="21.140625" style="91" customWidth="1"/>
    <col min="535" max="771" width="8.7109375" style="91"/>
    <col min="772" max="772" width="41.7109375" style="91" customWidth="1"/>
    <col min="773" max="777" width="15.85546875" style="91" customWidth="1"/>
    <col min="778" max="778" width="20.42578125" style="91" customWidth="1"/>
    <col min="779" max="779" width="19.85546875" style="91" customWidth="1"/>
    <col min="780" max="782" width="12.28515625" style="91" customWidth="1"/>
    <col min="783" max="783" width="12.85546875" style="91" customWidth="1"/>
    <col min="784" max="784" width="12" style="91" customWidth="1"/>
    <col min="785" max="785" width="12.5703125" style="91" customWidth="1"/>
    <col min="786" max="786" width="12.28515625" style="91" customWidth="1"/>
    <col min="787" max="787" width="12.140625" style="91" customWidth="1"/>
    <col min="788" max="789" width="12.28515625" style="91" customWidth="1"/>
    <col min="790" max="790" width="21.140625" style="91" customWidth="1"/>
    <col min="791" max="1027" width="8.7109375" style="91"/>
    <col min="1028" max="1028" width="41.7109375" style="91" customWidth="1"/>
    <col min="1029" max="1033" width="15.85546875" style="91" customWidth="1"/>
    <col min="1034" max="1034" width="20.42578125" style="91" customWidth="1"/>
    <col min="1035" max="1035" width="19.85546875" style="91" customWidth="1"/>
    <col min="1036" max="1038" width="12.28515625" style="91" customWidth="1"/>
    <col min="1039" max="1039" width="12.85546875" style="91" customWidth="1"/>
    <col min="1040" max="1040" width="12" style="91" customWidth="1"/>
    <col min="1041" max="1041" width="12.5703125" style="91" customWidth="1"/>
    <col min="1042" max="1042" width="12.28515625" style="91" customWidth="1"/>
    <col min="1043" max="1043" width="12.140625" style="91" customWidth="1"/>
    <col min="1044" max="1045" width="12.28515625" style="91" customWidth="1"/>
    <col min="1046" max="1046" width="21.140625" style="91" customWidth="1"/>
    <col min="1047" max="1283" width="8.7109375" style="91"/>
    <col min="1284" max="1284" width="41.7109375" style="91" customWidth="1"/>
    <col min="1285" max="1289" width="15.85546875" style="91" customWidth="1"/>
    <col min="1290" max="1290" width="20.42578125" style="91" customWidth="1"/>
    <col min="1291" max="1291" width="19.85546875" style="91" customWidth="1"/>
    <col min="1292" max="1294" width="12.28515625" style="91" customWidth="1"/>
    <col min="1295" max="1295" width="12.85546875" style="91" customWidth="1"/>
    <col min="1296" max="1296" width="12" style="91" customWidth="1"/>
    <col min="1297" max="1297" width="12.5703125" style="91" customWidth="1"/>
    <col min="1298" max="1298" width="12.28515625" style="91" customWidth="1"/>
    <col min="1299" max="1299" width="12.140625" style="91" customWidth="1"/>
    <col min="1300" max="1301" width="12.28515625" style="91" customWidth="1"/>
    <col min="1302" max="1302" width="21.140625" style="91" customWidth="1"/>
    <col min="1303" max="1539" width="8.7109375" style="91"/>
    <col min="1540" max="1540" width="41.7109375" style="91" customWidth="1"/>
    <col min="1541" max="1545" width="15.85546875" style="91" customWidth="1"/>
    <col min="1546" max="1546" width="20.42578125" style="91" customWidth="1"/>
    <col min="1547" max="1547" width="19.85546875" style="91" customWidth="1"/>
    <col min="1548" max="1550" width="12.28515625" style="91" customWidth="1"/>
    <col min="1551" max="1551" width="12.85546875" style="91" customWidth="1"/>
    <col min="1552" max="1552" width="12" style="91" customWidth="1"/>
    <col min="1553" max="1553" width="12.5703125" style="91" customWidth="1"/>
    <col min="1554" max="1554" width="12.28515625" style="91" customWidth="1"/>
    <col min="1555" max="1555" width="12.140625" style="91" customWidth="1"/>
    <col min="1556" max="1557" width="12.28515625" style="91" customWidth="1"/>
    <col min="1558" max="1558" width="21.140625" style="91" customWidth="1"/>
    <col min="1559" max="1795" width="8.7109375" style="91"/>
    <col min="1796" max="1796" width="41.7109375" style="91" customWidth="1"/>
    <col min="1797" max="1801" width="15.85546875" style="91" customWidth="1"/>
    <col min="1802" max="1802" width="20.42578125" style="91" customWidth="1"/>
    <col min="1803" max="1803" width="19.85546875" style="91" customWidth="1"/>
    <col min="1804" max="1806" width="12.28515625" style="91" customWidth="1"/>
    <col min="1807" max="1807" width="12.85546875" style="91" customWidth="1"/>
    <col min="1808" max="1808" width="12" style="91" customWidth="1"/>
    <col min="1809" max="1809" width="12.5703125" style="91" customWidth="1"/>
    <col min="1810" max="1810" width="12.28515625" style="91" customWidth="1"/>
    <col min="1811" max="1811" width="12.140625" style="91" customWidth="1"/>
    <col min="1812" max="1813" width="12.28515625" style="91" customWidth="1"/>
    <col min="1814" max="1814" width="21.140625" style="91" customWidth="1"/>
    <col min="1815" max="2051" width="8.7109375" style="91"/>
    <col min="2052" max="2052" width="41.7109375" style="91" customWidth="1"/>
    <col min="2053" max="2057" width="15.85546875" style="91" customWidth="1"/>
    <col min="2058" max="2058" width="20.42578125" style="91" customWidth="1"/>
    <col min="2059" max="2059" width="19.85546875" style="91" customWidth="1"/>
    <col min="2060" max="2062" width="12.28515625" style="91" customWidth="1"/>
    <col min="2063" max="2063" width="12.85546875" style="91" customWidth="1"/>
    <col min="2064" max="2064" width="12" style="91" customWidth="1"/>
    <col min="2065" max="2065" width="12.5703125" style="91" customWidth="1"/>
    <col min="2066" max="2066" width="12.28515625" style="91" customWidth="1"/>
    <col min="2067" max="2067" width="12.140625" style="91" customWidth="1"/>
    <col min="2068" max="2069" width="12.28515625" style="91" customWidth="1"/>
    <col min="2070" max="2070" width="21.140625" style="91" customWidth="1"/>
    <col min="2071" max="2307" width="8.7109375" style="91"/>
    <col min="2308" max="2308" width="41.7109375" style="91" customWidth="1"/>
    <col min="2309" max="2313" width="15.85546875" style="91" customWidth="1"/>
    <col min="2314" max="2314" width="20.42578125" style="91" customWidth="1"/>
    <col min="2315" max="2315" width="19.85546875" style="91" customWidth="1"/>
    <col min="2316" max="2318" width="12.28515625" style="91" customWidth="1"/>
    <col min="2319" max="2319" width="12.85546875" style="91" customWidth="1"/>
    <col min="2320" max="2320" width="12" style="91" customWidth="1"/>
    <col min="2321" max="2321" width="12.5703125" style="91" customWidth="1"/>
    <col min="2322" max="2322" width="12.28515625" style="91" customWidth="1"/>
    <col min="2323" max="2323" width="12.140625" style="91" customWidth="1"/>
    <col min="2324" max="2325" width="12.28515625" style="91" customWidth="1"/>
    <col min="2326" max="2326" width="21.140625" style="91" customWidth="1"/>
    <col min="2327" max="2563" width="8.7109375" style="91"/>
    <col min="2564" max="2564" width="41.7109375" style="91" customWidth="1"/>
    <col min="2565" max="2569" width="15.85546875" style="91" customWidth="1"/>
    <col min="2570" max="2570" width="20.42578125" style="91" customWidth="1"/>
    <col min="2571" max="2571" width="19.85546875" style="91" customWidth="1"/>
    <col min="2572" max="2574" width="12.28515625" style="91" customWidth="1"/>
    <col min="2575" max="2575" width="12.85546875" style="91" customWidth="1"/>
    <col min="2576" max="2576" width="12" style="91" customWidth="1"/>
    <col min="2577" max="2577" width="12.5703125" style="91" customWidth="1"/>
    <col min="2578" max="2578" width="12.28515625" style="91" customWidth="1"/>
    <col min="2579" max="2579" width="12.140625" style="91" customWidth="1"/>
    <col min="2580" max="2581" width="12.28515625" style="91" customWidth="1"/>
    <col min="2582" max="2582" width="21.140625" style="91" customWidth="1"/>
    <col min="2583" max="2819" width="8.7109375" style="91"/>
    <col min="2820" max="2820" width="41.7109375" style="91" customWidth="1"/>
    <col min="2821" max="2825" width="15.85546875" style="91" customWidth="1"/>
    <col min="2826" max="2826" width="20.42578125" style="91" customWidth="1"/>
    <col min="2827" max="2827" width="19.85546875" style="91" customWidth="1"/>
    <col min="2828" max="2830" width="12.28515625" style="91" customWidth="1"/>
    <col min="2831" max="2831" width="12.85546875" style="91" customWidth="1"/>
    <col min="2832" max="2832" width="12" style="91" customWidth="1"/>
    <col min="2833" max="2833" width="12.5703125" style="91" customWidth="1"/>
    <col min="2834" max="2834" width="12.28515625" style="91" customWidth="1"/>
    <col min="2835" max="2835" width="12.140625" style="91" customWidth="1"/>
    <col min="2836" max="2837" width="12.28515625" style="91" customWidth="1"/>
    <col min="2838" max="2838" width="21.140625" style="91" customWidth="1"/>
    <col min="2839" max="3075" width="8.7109375" style="91"/>
    <col min="3076" max="3076" width="41.7109375" style="91" customWidth="1"/>
    <col min="3077" max="3081" width="15.85546875" style="91" customWidth="1"/>
    <col min="3082" max="3082" width="20.42578125" style="91" customWidth="1"/>
    <col min="3083" max="3083" width="19.85546875" style="91" customWidth="1"/>
    <col min="3084" max="3086" width="12.28515625" style="91" customWidth="1"/>
    <col min="3087" max="3087" width="12.85546875" style="91" customWidth="1"/>
    <col min="3088" max="3088" width="12" style="91" customWidth="1"/>
    <col min="3089" max="3089" width="12.5703125" style="91" customWidth="1"/>
    <col min="3090" max="3090" width="12.28515625" style="91" customWidth="1"/>
    <col min="3091" max="3091" width="12.140625" style="91" customWidth="1"/>
    <col min="3092" max="3093" width="12.28515625" style="91" customWidth="1"/>
    <col min="3094" max="3094" width="21.140625" style="91" customWidth="1"/>
    <col min="3095" max="3331" width="8.7109375" style="91"/>
    <col min="3332" max="3332" width="41.7109375" style="91" customWidth="1"/>
    <col min="3333" max="3337" width="15.85546875" style="91" customWidth="1"/>
    <col min="3338" max="3338" width="20.42578125" style="91" customWidth="1"/>
    <col min="3339" max="3339" width="19.85546875" style="91" customWidth="1"/>
    <col min="3340" max="3342" width="12.28515625" style="91" customWidth="1"/>
    <col min="3343" max="3343" width="12.85546875" style="91" customWidth="1"/>
    <col min="3344" max="3344" width="12" style="91" customWidth="1"/>
    <col min="3345" max="3345" width="12.5703125" style="91" customWidth="1"/>
    <col min="3346" max="3346" width="12.28515625" style="91" customWidth="1"/>
    <col min="3347" max="3347" width="12.140625" style="91" customWidth="1"/>
    <col min="3348" max="3349" width="12.28515625" style="91" customWidth="1"/>
    <col min="3350" max="3350" width="21.140625" style="91" customWidth="1"/>
    <col min="3351" max="3587" width="8.7109375" style="91"/>
    <col min="3588" max="3588" width="41.7109375" style="91" customWidth="1"/>
    <col min="3589" max="3593" width="15.85546875" style="91" customWidth="1"/>
    <col min="3594" max="3594" width="20.42578125" style="91" customWidth="1"/>
    <col min="3595" max="3595" width="19.85546875" style="91" customWidth="1"/>
    <col min="3596" max="3598" width="12.28515625" style="91" customWidth="1"/>
    <col min="3599" max="3599" width="12.85546875" style="91" customWidth="1"/>
    <col min="3600" max="3600" width="12" style="91" customWidth="1"/>
    <col min="3601" max="3601" width="12.5703125" style="91" customWidth="1"/>
    <col min="3602" max="3602" width="12.28515625" style="91" customWidth="1"/>
    <col min="3603" max="3603" width="12.140625" style="91" customWidth="1"/>
    <col min="3604" max="3605" width="12.28515625" style="91" customWidth="1"/>
    <col min="3606" max="3606" width="21.140625" style="91" customWidth="1"/>
    <col min="3607" max="3843" width="8.7109375" style="91"/>
    <col min="3844" max="3844" width="41.7109375" style="91" customWidth="1"/>
    <col min="3845" max="3849" width="15.85546875" style="91" customWidth="1"/>
    <col min="3850" max="3850" width="20.42578125" style="91" customWidth="1"/>
    <col min="3851" max="3851" width="19.85546875" style="91" customWidth="1"/>
    <col min="3852" max="3854" width="12.28515625" style="91" customWidth="1"/>
    <col min="3855" max="3855" width="12.85546875" style="91" customWidth="1"/>
    <col min="3856" max="3856" width="12" style="91" customWidth="1"/>
    <col min="3857" max="3857" width="12.5703125" style="91" customWidth="1"/>
    <col min="3858" max="3858" width="12.28515625" style="91" customWidth="1"/>
    <col min="3859" max="3859" width="12.140625" style="91" customWidth="1"/>
    <col min="3860" max="3861" width="12.28515625" style="91" customWidth="1"/>
    <col min="3862" max="3862" width="21.140625" style="91" customWidth="1"/>
    <col min="3863" max="4099" width="8.7109375" style="91"/>
    <col min="4100" max="4100" width="41.7109375" style="91" customWidth="1"/>
    <col min="4101" max="4105" width="15.85546875" style="91" customWidth="1"/>
    <col min="4106" max="4106" width="20.42578125" style="91" customWidth="1"/>
    <col min="4107" max="4107" width="19.85546875" style="91" customWidth="1"/>
    <col min="4108" max="4110" width="12.28515625" style="91" customWidth="1"/>
    <col min="4111" max="4111" width="12.85546875" style="91" customWidth="1"/>
    <col min="4112" max="4112" width="12" style="91" customWidth="1"/>
    <col min="4113" max="4113" width="12.5703125" style="91" customWidth="1"/>
    <col min="4114" max="4114" width="12.28515625" style="91" customWidth="1"/>
    <col min="4115" max="4115" width="12.140625" style="91" customWidth="1"/>
    <col min="4116" max="4117" width="12.28515625" style="91" customWidth="1"/>
    <col min="4118" max="4118" width="21.140625" style="91" customWidth="1"/>
    <col min="4119" max="4355" width="8.7109375" style="91"/>
    <col min="4356" max="4356" width="41.7109375" style="91" customWidth="1"/>
    <col min="4357" max="4361" width="15.85546875" style="91" customWidth="1"/>
    <col min="4362" max="4362" width="20.42578125" style="91" customWidth="1"/>
    <col min="4363" max="4363" width="19.85546875" style="91" customWidth="1"/>
    <col min="4364" max="4366" width="12.28515625" style="91" customWidth="1"/>
    <col min="4367" max="4367" width="12.85546875" style="91" customWidth="1"/>
    <col min="4368" max="4368" width="12" style="91" customWidth="1"/>
    <col min="4369" max="4369" width="12.5703125" style="91" customWidth="1"/>
    <col min="4370" max="4370" width="12.28515625" style="91" customWidth="1"/>
    <col min="4371" max="4371" width="12.140625" style="91" customWidth="1"/>
    <col min="4372" max="4373" width="12.28515625" style="91" customWidth="1"/>
    <col min="4374" max="4374" width="21.140625" style="91" customWidth="1"/>
    <col min="4375" max="4611" width="8.7109375" style="91"/>
    <col min="4612" max="4612" width="41.7109375" style="91" customWidth="1"/>
    <col min="4613" max="4617" width="15.85546875" style="91" customWidth="1"/>
    <col min="4618" max="4618" width="20.42578125" style="91" customWidth="1"/>
    <col min="4619" max="4619" width="19.85546875" style="91" customWidth="1"/>
    <col min="4620" max="4622" width="12.28515625" style="91" customWidth="1"/>
    <col min="4623" max="4623" width="12.85546875" style="91" customWidth="1"/>
    <col min="4624" max="4624" width="12" style="91" customWidth="1"/>
    <col min="4625" max="4625" width="12.5703125" style="91" customWidth="1"/>
    <col min="4626" max="4626" width="12.28515625" style="91" customWidth="1"/>
    <col min="4627" max="4627" width="12.140625" style="91" customWidth="1"/>
    <col min="4628" max="4629" width="12.28515625" style="91" customWidth="1"/>
    <col min="4630" max="4630" width="21.140625" style="91" customWidth="1"/>
    <col min="4631" max="4867" width="8.7109375" style="91"/>
    <col min="4868" max="4868" width="41.7109375" style="91" customWidth="1"/>
    <col min="4869" max="4873" width="15.85546875" style="91" customWidth="1"/>
    <col min="4874" max="4874" width="20.42578125" style="91" customWidth="1"/>
    <col min="4875" max="4875" width="19.85546875" style="91" customWidth="1"/>
    <col min="4876" max="4878" width="12.28515625" style="91" customWidth="1"/>
    <col min="4879" max="4879" width="12.85546875" style="91" customWidth="1"/>
    <col min="4880" max="4880" width="12" style="91" customWidth="1"/>
    <col min="4881" max="4881" width="12.5703125" style="91" customWidth="1"/>
    <col min="4882" max="4882" width="12.28515625" style="91" customWidth="1"/>
    <col min="4883" max="4883" width="12.140625" style="91" customWidth="1"/>
    <col min="4884" max="4885" width="12.28515625" style="91" customWidth="1"/>
    <col min="4886" max="4886" width="21.140625" style="91" customWidth="1"/>
    <col min="4887" max="5123" width="8.7109375" style="91"/>
    <col min="5124" max="5124" width="41.7109375" style="91" customWidth="1"/>
    <col min="5125" max="5129" width="15.85546875" style="91" customWidth="1"/>
    <col min="5130" max="5130" width="20.42578125" style="91" customWidth="1"/>
    <col min="5131" max="5131" width="19.85546875" style="91" customWidth="1"/>
    <col min="5132" max="5134" width="12.28515625" style="91" customWidth="1"/>
    <col min="5135" max="5135" width="12.85546875" style="91" customWidth="1"/>
    <col min="5136" max="5136" width="12" style="91" customWidth="1"/>
    <col min="5137" max="5137" width="12.5703125" style="91" customWidth="1"/>
    <col min="5138" max="5138" width="12.28515625" style="91" customWidth="1"/>
    <col min="5139" max="5139" width="12.140625" style="91" customWidth="1"/>
    <col min="5140" max="5141" width="12.28515625" style="91" customWidth="1"/>
    <col min="5142" max="5142" width="21.140625" style="91" customWidth="1"/>
    <col min="5143" max="5379" width="8.7109375" style="91"/>
    <col min="5380" max="5380" width="41.7109375" style="91" customWidth="1"/>
    <col min="5381" max="5385" width="15.85546875" style="91" customWidth="1"/>
    <col min="5386" max="5386" width="20.42578125" style="91" customWidth="1"/>
    <col min="5387" max="5387" width="19.85546875" style="91" customWidth="1"/>
    <col min="5388" max="5390" width="12.28515625" style="91" customWidth="1"/>
    <col min="5391" max="5391" width="12.85546875" style="91" customWidth="1"/>
    <col min="5392" max="5392" width="12" style="91" customWidth="1"/>
    <col min="5393" max="5393" width="12.5703125" style="91" customWidth="1"/>
    <col min="5394" max="5394" width="12.28515625" style="91" customWidth="1"/>
    <col min="5395" max="5395" width="12.140625" style="91" customWidth="1"/>
    <col min="5396" max="5397" width="12.28515625" style="91" customWidth="1"/>
    <col min="5398" max="5398" width="21.140625" style="91" customWidth="1"/>
    <col min="5399" max="5635" width="8.7109375" style="91"/>
    <col min="5636" max="5636" width="41.7109375" style="91" customWidth="1"/>
    <col min="5637" max="5641" width="15.85546875" style="91" customWidth="1"/>
    <col min="5642" max="5642" width="20.42578125" style="91" customWidth="1"/>
    <col min="5643" max="5643" width="19.85546875" style="91" customWidth="1"/>
    <col min="5644" max="5646" width="12.28515625" style="91" customWidth="1"/>
    <col min="5647" max="5647" width="12.85546875" style="91" customWidth="1"/>
    <col min="5648" max="5648" width="12" style="91" customWidth="1"/>
    <col min="5649" max="5649" width="12.5703125" style="91" customWidth="1"/>
    <col min="5650" max="5650" width="12.28515625" style="91" customWidth="1"/>
    <col min="5651" max="5651" width="12.140625" style="91" customWidth="1"/>
    <col min="5652" max="5653" width="12.28515625" style="91" customWidth="1"/>
    <col min="5654" max="5654" width="21.140625" style="91" customWidth="1"/>
    <col min="5655" max="5891" width="8.7109375" style="91"/>
    <col min="5892" max="5892" width="41.7109375" style="91" customWidth="1"/>
    <col min="5893" max="5897" width="15.85546875" style="91" customWidth="1"/>
    <col min="5898" max="5898" width="20.42578125" style="91" customWidth="1"/>
    <col min="5899" max="5899" width="19.85546875" style="91" customWidth="1"/>
    <col min="5900" max="5902" width="12.28515625" style="91" customWidth="1"/>
    <col min="5903" max="5903" width="12.85546875" style="91" customWidth="1"/>
    <col min="5904" max="5904" width="12" style="91" customWidth="1"/>
    <col min="5905" max="5905" width="12.5703125" style="91" customWidth="1"/>
    <col min="5906" max="5906" width="12.28515625" style="91" customWidth="1"/>
    <col min="5907" max="5907" width="12.140625" style="91" customWidth="1"/>
    <col min="5908" max="5909" width="12.28515625" style="91" customWidth="1"/>
    <col min="5910" max="5910" width="21.140625" style="91" customWidth="1"/>
    <col min="5911" max="6147" width="8.7109375" style="91"/>
    <col min="6148" max="6148" width="41.7109375" style="91" customWidth="1"/>
    <col min="6149" max="6153" width="15.85546875" style="91" customWidth="1"/>
    <col min="6154" max="6154" width="20.42578125" style="91" customWidth="1"/>
    <col min="6155" max="6155" width="19.85546875" style="91" customWidth="1"/>
    <col min="6156" max="6158" width="12.28515625" style="91" customWidth="1"/>
    <col min="6159" max="6159" width="12.85546875" style="91" customWidth="1"/>
    <col min="6160" max="6160" width="12" style="91" customWidth="1"/>
    <col min="6161" max="6161" width="12.5703125" style="91" customWidth="1"/>
    <col min="6162" max="6162" width="12.28515625" style="91" customWidth="1"/>
    <col min="6163" max="6163" width="12.140625" style="91" customWidth="1"/>
    <col min="6164" max="6165" width="12.28515625" style="91" customWidth="1"/>
    <col min="6166" max="6166" width="21.140625" style="91" customWidth="1"/>
    <col min="6167" max="6403" width="8.7109375" style="91"/>
    <col min="6404" max="6404" width="41.7109375" style="91" customWidth="1"/>
    <col min="6405" max="6409" width="15.85546875" style="91" customWidth="1"/>
    <col min="6410" max="6410" width="20.42578125" style="91" customWidth="1"/>
    <col min="6411" max="6411" width="19.85546875" style="91" customWidth="1"/>
    <col min="6412" max="6414" width="12.28515625" style="91" customWidth="1"/>
    <col min="6415" max="6415" width="12.85546875" style="91" customWidth="1"/>
    <col min="6416" max="6416" width="12" style="91" customWidth="1"/>
    <col min="6417" max="6417" width="12.5703125" style="91" customWidth="1"/>
    <col min="6418" max="6418" width="12.28515625" style="91" customWidth="1"/>
    <col min="6419" max="6419" width="12.140625" style="91" customWidth="1"/>
    <col min="6420" max="6421" width="12.28515625" style="91" customWidth="1"/>
    <col min="6422" max="6422" width="21.140625" style="91" customWidth="1"/>
    <col min="6423" max="6659" width="8.7109375" style="91"/>
    <col min="6660" max="6660" width="41.7109375" style="91" customWidth="1"/>
    <col min="6661" max="6665" width="15.85546875" style="91" customWidth="1"/>
    <col min="6666" max="6666" width="20.42578125" style="91" customWidth="1"/>
    <col min="6667" max="6667" width="19.85546875" style="91" customWidth="1"/>
    <col min="6668" max="6670" width="12.28515625" style="91" customWidth="1"/>
    <col min="6671" max="6671" width="12.85546875" style="91" customWidth="1"/>
    <col min="6672" max="6672" width="12" style="91" customWidth="1"/>
    <col min="6673" max="6673" width="12.5703125" style="91" customWidth="1"/>
    <col min="6674" max="6674" width="12.28515625" style="91" customWidth="1"/>
    <col min="6675" max="6675" width="12.140625" style="91" customWidth="1"/>
    <col min="6676" max="6677" width="12.28515625" style="91" customWidth="1"/>
    <col min="6678" max="6678" width="21.140625" style="91" customWidth="1"/>
    <col min="6679" max="6915" width="8.7109375" style="91"/>
    <col min="6916" max="6916" width="41.7109375" style="91" customWidth="1"/>
    <col min="6917" max="6921" width="15.85546875" style="91" customWidth="1"/>
    <col min="6922" max="6922" width="20.42578125" style="91" customWidth="1"/>
    <col min="6923" max="6923" width="19.85546875" style="91" customWidth="1"/>
    <col min="6924" max="6926" width="12.28515625" style="91" customWidth="1"/>
    <col min="6927" max="6927" width="12.85546875" style="91" customWidth="1"/>
    <col min="6928" max="6928" width="12" style="91" customWidth="1"/>
    <col min="6929" max="6929" width="12.5703125" style="91" customWidth="1"/>
    <col min="6930" max="6930" width="12.28515625" style="91" customWidth="1"/>
    <col min="6931" max="6931" width="12.140625" style="91" customWidth="1"/>
    <col min="6932" max="6933" width="12.28515625" style="91" customWidth="1"/>
    <col min="6934" max="6934" width="21.140625" style="91" customWidth="1"/>
    <col min="6935" max="7171" width="8.7109375" style="91"/>
    <col min="7172" max="7172" width="41.7109375" style="91" customWidth="1"/>
    <col min="7173" max="7177" width="15.85546875" style="91" customWidth="1"/>
    <col min="7178" max="7178" width="20.42578125" style="91" customWidth="1"/>
    <col min="7179" max="7179" width="19.85546875" style="91" customWidth="1"/>
    <col min="7180" max="7182" width="12.28515625" style="91" customWidth="1"/>
    <col min="7183" max="7183" width="12.85546875" style="91" customWidth="1"/>
    <col min="7184" max="7184" width="12" style="91" customWidth="1"/>
    <col min="7185" max="7185" width="12.5703125" style="91" customWidth="1"/>
    <col min="7186" max="7186" width="12.28515625" style="91" customWidth="1"/>
    <col min="7187" max="7187" width="12.140625" style="91" customWidth="1"/>
    <col min="7188" max="7189" width="12.28515625" style="91" customWidth="1"/>
    <col min="7190" max="7190" width="21.140625" style="91" customWidth="1"/>
    <col min="7191" max="7427" width="8.7109375" style="91"/>
    <col min="7428" max="7428" width="41.7109375" style="91" customWidth="1"/>
    <col min="7429" max="7433" width="15.85546875" style="91" customWidth="1"/>
    <col min="7434" max="7434" width="20.42578125" style="91" customWidth="1"/>
    <col min="7435" max="7435" width="19.85546875" style="91" customWidth="1"/>
    <col min="7436" max="7438" width="12.28515625" style="91" customWidth="1"/>
    <col min="7439" max="7439" width="12.85546875" style="91" customWidth="1"/>
    <col min="7440" max="7440" width="12" style="91" customWidth="1"/>
    <col min="7441" max="7441" width="12.5703125" style="91" customWidth="1"/>
    <col min="7442" max="7442" width="12.28515625" style="91" customWidth="1"/>
    <col min="7443" max="7443" width="12.140625" style="91" customWidth="1"/>
    <col min="7444" max="7445" width="12.28515625" style="91" customWidth="1"/>
    <col min="7446" max="7446" width="21.140625" style="91" customWidth="1"/>
    <col min="7447" max="7683" width="8.7109375" style="91"/>
    <col min="7684" max="7684" width="41.7109375" style="91" customWidth="1"/>
    <col min="7685" max="7689" width="15.85546875" style="91" customWidth="1"/>
    <col min="7690" max="7690" width="20.42578125" style="91" customWidth="1"/>
    <col min="7691" max="7691" width="19.85546875" style="91" customWidth="1"/>
    <col min="7692" max="7694" width="12.28515625" style="91" customWidth="1"/>
    <col min="7695" max="7695" width="12.85546875" style="91" customWidth="1"/>
    <col min="7696" max="7696" width="12" style="91" customWidth="1"/>
    <col min="7697" max="7697" width="12.5703125" style="91" customWidth="1"/>
    <col min="7698" max="7698" width="12.28515625" style="91" customWidth="1"/>
    <col min="7699" max="7699" width="12.140625" style="91" customWidth="1"/>
    <col min="7700" max="7701" width="12.28515625" style="91" customWidth="1"/>
    <col min="7702" max="7702" width="21.140625" style="91" customWidth="1"/>
    <col min="7703" max="7939" width="8.7109375" style="91"/>
    <col min="7940" max="7940" width="41.7109375" style="91" customWidth="1"/>
    <col min="7941" max="7945" width="15.85546875" style="91" customWidth="1"/>
    <col min="7946" max="7946" width="20.42578125" style="91" customWidth="1"/>
    <col min="7947" max="7947" width="19.85546875" style="91" customWidth="1"/>
    <col min="7948" max="7950" width="12.28515625" style="91" customWidth="1"/>
    <col min="7951" max="7951" width="12.85546875" style="91" customWidth="1"/>
    <col min="7952" max="7952" width="12" style="91" customWidth="1"/>
    <col min="7953" max="7953" width="12.5703125" style="91" customWidth="1"/>
    <col min="7954" max="7954" width="12.28515625" style="91" customWidth="1"/>
    <col min="7955" max="7955" width="12.140625" style="91" customWidth="1"/>
    <col min="7956" max="7957" width="12.28515625" style="91" customWidth="1"/>
    <col min="7958" max="7958" width="21.140625" style="91" customWidth="1"/>
    <col min="7959" max="8195" width="8.7109375" style="91"/>
    <col min="8196" max="8196" width="41.7109375" style="91" customWidth="1"/>
    <col min="8197" max="8201" width="15.85546875" style="91" customWidth="1"/>
    <col min="8202" max="8202" width="20.42578125" style="91" customWidth="1"/>
    <col min="8203" max="8203" width="19.85546875" style="91" customWidth="1"/>
    <col min="8204" max="8206" width="12.28515625" style="91" customWidth="1"/>
    <col min="8207" max="8207" width="12.85546875" style="91" customWidth="1"/>
    <col min="8208" max="8208" width="12" style="91" customWidth="1"/>
    <col min="8209" max="8209" width="12.5703125" style="91" customWidth="1"/>
    <col min="8210" max="8210" width="12.28515625" style="91" customWidth="1"/>
    <col min="8211" max="8211" width="12.140625" style="91" customWidth="1"/>
    <col min="8212" max="8213" width="12.28515625" style="91" customWidth="1"/>
    <col min="8214" max="8214" width="21.140625" style="91" customWidth="1"/>
    <col min="8215" max="8451" width="8.7109375" style="91"/>
    <col min="8452" max="8452" width="41.7109375" style="91" customWidth="1"/>
    <col min="8453" max="8457" width="15.85546875" style="91" customWidth="1"/>
    <col min="8458" max="8458" width="20.42578125" style="91" customWidth="1"/>
    <col min="8459" max="8459" width="19.85546875" style="91" customWidth="1"/>
    <col min="8460" max="8462" width="12.28515625" style="91" customWidth="1"/>
    <col min="8463" max="8463" width="12.85546875" style="91" customWidth="1"/>
    <col min="8464" max="8464" width="12" style="91" customWidth="1"/>
    <col min="8465" max="8465" width="12.5703125" style="91" customWidth="1"/>
    <col min="8466" max="8466" width="12.28515625" style="91" customWidth="1"/>
    <col min="8467" max="8467" width="12.140625" style="91" customWidth="1"/>
    <col min="8468" max="8469" width="12.28515625" style="91" customWidth="1"/>
    <col min="8470" max="8470" width="21.140625" style="91" customWidth="1"/>
    <col min="8471" max="8707" width="8.7109375" style="91"/>
    <col min="8708" max="8708" width="41.7109375" style="91" customWidth="1"/>
    <col min="8709" max="8713" width="15.85546875" style="91" customWidth="1"/>
    <col min="8714" max="8714" width="20.42578125" style="91" customWidth="1"/>
    <col min="8715" max="8715" width="19.85546875" style="91" customWidth="1"/>
    <col min="8716" max="8718" width="12.28515625" style="91" customWidth="1"/>
    <col min="8719" max="8719" width="12.85546875" style="91" customWidth="1"/>
    <col min="8720" max="8720" width="12" style="91" customWidth="1"/>
    <col min="8721" max="8721" width="12.5703125" style="91" customWidth="1"/>
    <col min="8722" max="8722" width="12.28515625" style="91" customWidth="1"/>
    <col min="8723" max="8723" width="12.140625" style="91" customWidth="1"/>
    <col min="8724" max="8725" width="12.28515625" style="91" customWidth="1"/>
    <col min="8726" max="8726" width="21.140625" style="91" customWidth="1"/>
    <col min="8727" max="8963" width="8.7109375" style="91"/>
    <col min="8964" max="8964" width="41.7109375" style="91" customWidth="1"/>
    <col min="8965" max="8969" width="15.85546875" style="91" customWidth="1"/>
    <col min="8970" max="8970" width="20.42578125" style="91" customWidth="1"/>
    <col min="8971" max="8971" width="19.85546875" style="91" customWidth="1"/>
    <col min="8972" max="8974" width="12.28515625" style="91" customWidth="1"/>
    <col min="8975" max="8975" width="12.85546875" style="91" customWidth="1"/>
    <col min="8976" max="8976" width="12" style="91" customWidth="1"/>
    <col min="8977" max="8977" width="12.5703125" style="91" customWidth="1"/>
    <col min="8978" max="8978" width="12.28515625" style="91" customWidth="1"/>
    <col min="8979" max="8979" width="12.140625" style="91" customWidth="1"/>
    <col min="8980" max="8981" width="12.28515625" style="91" customWidth="1"/>
    <col min="8982" max="8982" width="21.140625" style="91" customWidth="1"/>
    <col min="8983" max="9219" width="8.7109375" style="91"/>
    <col min="9220" max="9220" width="41.7109375" style="91" customWidth="1"/>
    <col min="9221" max="9225" width="15.85546875" style="91" customWidth="1"/>
    <col min="9226" max="9226" width="20.42578125" style="91" customWidth="1"/>
    <col min="9227" max="9227" width="19.85546875" style="91" customWidth="1"/>
    <col min="9228" max="9230" width="12.28515625" style="91" customWidth="1"/>
    <col min="9231" max="9231" width="12.85546875" style="91" customWidth="1"/>
    <col min="9232" max="9232" width="12" style="91" customWidth="1"/>
    <col min="9233" max="9233" width="12.5703125" style="91" customWidth="1"/>
    <col min="9234" max="9234" width="12.28515625" style="91" customWidth="1"/>
    <col min="9235" max="9235" width="12.140625" style="91" customWidth="1"/>
    <col min="9236" max="9237" width="12.28515625" style="91" customWidth="1"/>
    <col min="9238" max="9238" width="21.140625" style="91" customWidth="1"/>
    <col min="9239" max="9475" width="8.7109375" style="91"/>
    <col min="9476" max="9476" width="41.7109375" style="91" customWidth="1"/>
    <col min="9477" max="9481" width="15.85546875" style="91" customWidth="1"/>
    <col min="9482" max="9482" width="20.42578125" style="91" customWidth="1"/>
    <col min="9483" max="9483" width="19.85546875" style="91" customWidth="1"/>
    <col min="9484" max="9486" width="12.28515625" style="91" customWidth="1"/>
    <col min="9487" max="9487" width="12.85546875" style="91" customWidth="1"/>
    <col min="9488" max="9488" width="12" style="91" customWidth="1"/>
    <col min="9489" max="9489" width="12.5703125" style="91" customWidth="1"/>
    <col min="9490" max="9490" width="12.28515625" style="91" customWidth="1"/>
    <col min="9491" max="9491" width="12.140625" style="91" customWidth="1"/>
    <col min="9492" max="9493" width="12.28515625" style="91" customWidth="1"/>
    <col min="9494" max="9494" width="21.140625" style="91" customWidth="1"/>
    <col min="9495" max="9731" width="8.7109375" style="91"/>
    <col min="9732" max="9732" width="41.7109375" style="91" customWidth="1"/>
    <col min="9733" max="9737" width="15.85546875" style="91" customWidth="1"/>
    <col min="9738" max="9738" width="20.42578125" style="91" customWidth="1"/>
    <col min="9739" max="9739" width="19.85546875" style="91" customWidth="1"/>
    <col min="9740" max="9742" width="12.28515625" style="91" customWidth="1"/>
    <col min="9743" max="9743" width="12.85546875" style="91" customWidth="1"/>
    <col min="9744" max="9744" width="12" style="91" customWidth="1"/>
    <col min="9745" max="9745" width="12.5703125" style="91" customWidth="1"/>
    <col min="9746" max="9746" width="12.28515625" style="91" customWidth="1"/>
    <col min="9747" max="9747" width="12.140625" style="91" customWidth="1"/>
    <col min="9748" max="9749" width="12.28515625" style="91" customWidth="1"/>
    <col min="9750" max="9750" width="21.140625" style="91" customWidth="1"/>
    <col min="9751" max="9987" width="8.7109375" style="91"/>
    <col min="9988" max="9988" width="41.7109375" style="91" customWidth="1"/>
    <col min="9989" max="9993" width="15.85546875" style="91" customWidth="1"/>
    <col min="9994" max="9994" width="20.42578125" style="91" customWidth="1"/>
    <col min="9995" max="9995" width="19.85546875" style="91" customWidth="1"/>
    <col min="9996" max="9998" width="12.28515625" style="91" customWidth="1"/>
    <col min="9999" max="9999" width="12.85546875" style="91" customWidth="1"/>
    <col min="10000" max="10000" width="12" style="91" customWidth="1"/>
    <col min="10001" max="10001" width="12.5703125" style="91" customWidth="1"/>
    <col min="10002" max="10002" width="12.28515625" style="91" customWidth="1"/>
    <col min="10003" max="10003" width="12.140625" style="91" customWidth="1"/>
    <col min="10004" max="10005" width="12.28515625" style="91" customWidth="1"/>
    <col min="10006" max="10006" width="21.140625" style="91" customWidth="1"/>
    <col min="10007" max="10243" width="8.7109375" style="91"/>
    <col min="10244" max="10244" width="41.7109375" style="91" customWidth="1"/>
    <col min="10245" max="10249" width="15.85546875" style="91" customWidth="1"/>
    <col min="10250" max="10250" width="20.42578125" style="91" customWidth="1"/>
    <col min="10251" max="10251" width="19.85546875" style="91" customWidth="1"/>
    <col min="10252" max="10254" width="12.28515625" style="91" customWidth="1"/>
    <col min="10255" max="10255" width="12.85546875" style="91" customWidth="1"/>
    <col min="10256" max="10256" width="12" style="91" customWidth="1"/>
    <col min="10257" max="10257" width="12.5703125" style="91" customWidth="1"/>
    <col min="10258" max="10258" width="12.28515625" style="91" customWidth="1"/>
    <col min="10259" max="10259" width="12.140625" style="91" customWidth="1"/>
    <col min="10260" max="10261" width="12.28515625" style="91" customWidth="1"/>
    <col min="10262" max="10262" width="21.140625" style="91" customWidth="1"/>
    <col min="10263" max="10499" width="8.7109375" style="91"/>
    <col min="10500" max="10500" width="41.7109375" style="91" customWidth="1"/>
    <col min="10501" max="10505" width="15.85546875" style="91" customWidth="1"/>
    <col min="10506" max="10506" width="20.42578125" style="91" customWidth="1"/>
    <col min="10507" max="10507" width="19.85546875" style="91" customWidth="1"/>
    <col min="10508" max="10510" width="12.28515625" style="91" customWidth="1"/>
    <col min="10511" max="10511" width="12.85546875" style="91" customWidth="1"/>
    <col min="10512" max="10512" width="12" style="91" customWidth="1"/>
    <col min="10513" max="10513" width="12.5703125" style="91" customWidth="1"/>
    <col min="10514" max="10514" width="12.28515625" style="91" customWidth="1"/>
    <col min="10515" max="10515" width="12.140625" style="91" customWidth="1"/>
    <col min="10516" max="10517" width="12.28515625" style="91" customWidth="1"/>
    <col min="10518" max="10518" width="21.140625" style="91" customWidth="1"/>
    <col min="10519" max="10755" width="8.7109375" style="91"/>
    <col min="10756" max="10756" width="41.7109375" style="91" customWidth="1"/>
    <col min="10757" max="10761" width="15.85546875" style="91" customWidth="1"/>
    <col min="10762" max="10762" width="20.42578125" style="91" customWidth="1"/>
    <col min="10763" max="10763" width="19.85546875" style="91" customWidth="1"/>
    <col min="10764" max="10766" width="12.28515625" style="91" customWidth="1"/>
    <col min="10767" max="10767" width="12.85546875" style="91" customWidth="1"/>
    <col min="10768" max="10768" width="12" style="91" customWidth="1"/>
    <col min="10769" max="10769" width="12.5703125" style="91" customWidth="1"/>
    <col min="10770" max="10770" width="12.28515625" style="91" customWidth="1"/>
    <col min="10771" max="10771" width="12.140625" style="91" customWidth="1"/>
    <col min="10772" max="10773" width="12.28515625" style="91" customWidth="1"/>
    <col min="10774" max="10774" width="21.140625" style="91" customWidth="1"/>
    <col min="10775" max="11011" width="8.7109375" style="91"/>
    <col min="11012" max="11012" width="41.7109375" style="91" customWidth="1"/>
    <col min="11013" max="11017" width="15.85546875" style="91" customWidth="1"/>
    <col min="11018" max="11018" width="20.42578125" style="91" customWidth="1"/>
    <col min="11019" max="11019" width="19.85546875" style="91" customWidth="1"/>
    <col min="11020" max="11022" width="12.28515625" style="91" customWidth="1"/>
    <col min="11023" max="11023" width="12.85546875" style="91" customWidth="1"/>
    <col min="11024" max="11024" width="12" style="91" customWidth="1"/>
    <col min="11025" max="11025" width="12.5703125" style="91" customWidth="1"/>
    <col min="11026" max="11026" width="12.28515625" style="91" customWidth="1"/>
    <col min="11027" max="11027" width="12.140625" style="91" customWidth="1"/>
    <col min="11028" max="11029" width="12.28515625" style="91" customWidth="1"/>
    <col min="11030" max="11030" width="21.140625" style="91" customWidth="1"/>
    <col min="11031" max="11267" width="8.7109375" style="91"/>
    <col min="11268" max="11268" width="41.7109375" style="91" customWidth="1"/>
    <col min="11269" max="11273" width="15.85546875" style="91" customWidth="1"/>
    <col min="11274" max="11274" width="20.42578125" style="91" customWidth="1"/>
    <col min="11275" max="11275" width="19.85546875" style="91" customWidth="1"/>
    <col min="11276" max="11278" width="12.28515625" style="91" customWidth="1"/>
    <col min="11279" max="11279" width="12.85546875" style="91" customWidth="1"/>
    <col min="11280" max="11280" width="12" style="91" customWidth="1"/>
    <col min="11281" max="11281" width="12.5703125" style="91" customWidth="1"/>
    <col min="11282" max="11282" width="12.28515625" style="91" customWidth="1"/>
    <col min="11283" max="11283" width="12.140625" style="91" customWidth="1"/>
    <col min="11284" max="11285" width="12.28515625" style="91" customWidth="1"/>
    <col min="11286" max="11286" width="21.140625" style="91" customWidth="1"/>
    <col min="11287" max="11523" width="8.7109375" style="91"/>
    <col min="11524" max="11524" width="41.7109375" style="91" customWidth="1"/>
    <col min="11525" max="11529" width="15.85546875" style="91" customWidth="1"/>
    <col min="11530" max="11530" width="20.42578125" style="91" customWidth="1"/>
    <col min="11531" max="11531" width="19.85546875" style="91" customWidth="1"/>
    <col min="11532" max="11534" width="12.28515625" style="91" customWidth="1"/>
    <col min="11535" max="11535" width="12.85546875" style="91" customWidth="1"/>
    <col min="11536" max="11536" width="12" style="91" customWidth="1"/>
    <col min="11537" max="11537" width="12.5703125" style="91" customWidth="1"/>
    <col min="11538" max="11538" width="12.28515625" style="91" customWidth="1"/>
    <col min="11539" max="11539" width="12.140625" style="91" customWidth="1"/>
    <col min="11540" max="11541" width="12.28515625" style="91" customWidth="1"/>
    <col min="11542" max="11542" width="21.140625" style="91" customWidth="1"/>
    <col min="11543" max="11779" width="8.7109375" style="91"/>
    <col min="11780" max="11780" width="41.7109375" style="91" customWidth="1"/>
    <col min="11781" max="11785" width="15.85546875" style="91" customWidth="1"/>
    <col min="11786" max="11786" width="20.42578125" style="91" customWidth="1"/>
    <col min="11787" max="11787" width="19.85546875" style="91" customWidth="1"/>
    <col min="11788" max="11790" width="12.28515625" style="91" customWidth="1"/>
    <col min="11791" max="11791" width="12.85546875" style="91" customWidth="1"/>
    <col min="11792" max="11792" width="12" style="91" customWidth="1"/>
    <col min="11793" max="11793" width="12.5703125" style="91" customWidth="1"/>
    <col min="11794" max="11794" width="12.28515625" style="91" customWidth="1"/>
    <col min="11795" max="11795" width="12.140625" style="91" customWidth="1"/>
    <col min="11796" max="11797" width="12.28515625" style="91" customWidth="1"/>
    <col min="11798" max="11798" width="21.140625" style="91" customWidth="1"/>
    <col min="11799" max="12035" width="8.7109375" style="91"/>
    <col min="12036" max="12036" width="41.7109375" style="91" customWidth="1"/>
    <col min="12037" max="12041" width="15.85546875" style="91" customWidth="1"/>
    <col min="12042" max="12042" width="20.42578125" style="91" customWidth="1"/>
    <col min="12043" max="12043" width="19.85546875" style="91" customWidth="1"/>
    <col min="12044" max="12046" width="12.28515625" style="91" customWidth="1"/>
    <col min="12047" max="12047" width="12.85546875" style="91" customWidth="1"/>
    <col min="12048" max="12048" width="12" style="91" customWidth="1"/>
    <col min="12049" max="12049" width="12.5703125" style="91" customWidth="1"/>
    <col min="12050" max="12050" width="12.28515625" style="91" customWidth="1"/>
    <col min="12051" max="12051" width="12.140625" style="91" customWidth="1"/>
    <col min="12052" max="12053" width="12.28515625" style="91" customWidth="1"/>
    <col min="12054" max="12054" width="21.140625" style="91" customWidth="1"/>
    <col min="12055" max="12291" width="8.7109375" style="91"/>
    <col min="12292" max="12292" width="41.7109375" style="91" customWidth="1"/>
    <col min="12293" max="12297" width="15.85546875" style="91" customWidth="1"/>
    <col min="12298" max="12298" width="20.42578125" style="91" customWidth="1"/>
    <col min="12299" max="12299" width="19.85546875" style="91" customWidth="1"/>
    <col min="12300" max="12302" width="12.28515625" style="91" customWidth="1"/>
    <col min="12303" max="12303" width="12.85546875" style="91" customWidth="1"/>
    <col min="12304" max="12304" width="12" style="91" customWidth="1"/>
    <col min="12305" max="12305" width="12.5703125" style="91" customWidth="1"/>
    <col min="12306" max="12306" width="12.28515625" style="91" customWidth="1"/>
    <col min="12307" max="12307" width="12.140625" style="91" customWidth="1"/>
    <col min="12308" max="12309" width="12.28515625" style="91" customWidth="1"/>
    <col min="12310" max="12310" width="21.140625" style="91" customWidth="1"/>
    <col min="12311" max="12547" width="8.7109375" style="91"/>
    <col min="12548" max="12548" width="41.7109375" style="91" customWidth="1"/>
    <col min="12549" max="12553" width="15.85546875" style="91" customWidth="1"/>
    <col min="12554" max="12554" width="20.42578125" style="91" customWidth="1"/>
    <col min="12555" max="12555" width="19.85546875" style="91" customWidth="1"/>
    <col min="12556" max="12558" width="12.28515625" style="91" customWidth="1"/>
    <col min="12559" max="12559" width="12.85546875" style="91" customWidth="1"/>
    <col min="12560" max="12560" width="12" style="91" customWidth="1"/>
    <col min="12561" max="12561" width="12.5703125" style="91" customWidth="1"/>
    <col min="12562" max="12562" width="12.28515625" style="91" customWidth="1"/>
    <col min="12563" max="12563" width="12.140625" style="91" customWidth="1"/>
    <col min="12564" max="12565" width="12.28515625" style="91" customWidth="1"/>
    <col min="12566" max="12566" width="21.140625" style="91" customWidth="1"/>
    <col min="12567" max="12803" width="8.7109375" style="91"/>
    <col min="12804" max="12804" width="41.7109375" style="91" customWidth="1"/>
    <col min="12805" max="12809" width="15.85546875" style="91" customWidth="1"/>
    <col min="12810" max="12810" width="20.42578125" style="91" customWidth="1"/>
    <col min="12811" max="12811" width="19.85546875" style="91" customWidth="1"/>
    <col min="12812" max="12814" width="12.28515625" style="91" customWidth="1"/>
    <col min="12815" max="12815" width="12.85546875" style="91" customWidth="1"/>
    <col min="12816" max="12816" width="12" style="91" customWidth="1"/>
    <col min="12817" max="12817" width="12.5703125" style="91" customWidth="1"/>
    <col min="12818" max="12818" width="12.28515625" style="91" customWidth="1"/>
    <col min="12819" max="12819" width="12.140625" style="91" customWidth="1"/>
    <col min="12820" max="12821" width="12.28515625" style="91" customWidth="1"/>
    <col min="12822" max="12822" width="21.140625" style="91" customWidth="1"/>
    <col min="12823" max="13059" width="8.7109375" style="91"/>
    <col min="13060" max="13060" width="41.7109375" style="91" customWidth="1"/>
    <col min="13061" max="13065" width="15.85546875" style="91" customWidth="1"/>
    <col min="13066" max="13066" width="20.42578125" style="91" customWidth="1"/>
    <col min="13067" max="13067" width="19.85546875" style="91" customWidth="1"/>
    <col min="13068" max="13070" width="12.28515625" style="91" customWidth="1"/>
    <col min="13071" max="13071" width="12.85546875" style="91" customWidth="1"/>
    <col min="13072" max="13072" width="12" style="91" customWidth="1"/>
    <col min="13073" max="13073" width="12.5703125" style="91" customWidth="1"/>
    <col min="13074" max="13074" width="12.28515625" style="91" customWidth="1"/>
    <col min="13075" max="13075" width="12.140625" style="91" customWidth="1"/>
    <col min="13076" max="13077" width="12.28515625" style="91" customWidth="1"/>
    <col min="13078" max="13078" width="21.140625" style="91" customWidth="1"/>
    <col min="13079" max="13315" width="8.7109375" style="91"/>
    <col min="13316" max="13316" width="41.7109375" style="91" customWidth="1"/>
    <col min="13317" max="13321" width="15.85546875" style="91" customWidth="1"/>
    <col min="13322" max="13322" width="20.42578125" style="91" customWidth="1"/>
    <col min="13323" max="13323" width="19.85546875" style="91" customWidth="1"/>
    <col min="13324" max="13326" width="12.28515625" style="91" customWidth="1"/>
    <col min="13327" max="13327" width="12.85546875" style="91" customWidth="1"/>
    <col min="13328" max="13328" width="12" style="91" customWidth="1"/>
    <col min="13329" max="13329" width="12.5703125" style="91" customWidth="1"/>
    <col min="13330" max="13330" width="12.28515625" style="91" customWidth="1"/>
    <col min="13331" max="13331" width="12.140625" style="91" customWidth="1"/>
    <col min="13332" max="13333" width="12.28515625" style="91" customWidth="1"/>
    <col min="13334" max="13334" width="21.140625" style="91" customWidth="1"/>
    <col min="13335" max="13571" width="8.7109375" style="91"/>
    <col min="13572" max="13572" width="41.7109375" style="91" customWidth="1"/>
    <col min="13573" max="13577" width="15.85546875" style="91" customWidth="1"/>
    <col min="13578" max="13578" width="20.42578125" style="91" customWidth="1"/>
    <col min="13579" max="13579" width="19.85546875" style="91" customWidth="1"/>
    <col min="13580" max="13582" width="12.28515625" style="91" customWidth="1"/>
    <col min="13583" max="13583" width="12.85546875" style="91" customWidth="1"/>
    <col min="13584" max="13584" width="12" style="91" customWidth="1"/>
    <col min="13585" max="13585" width="12.5703125" style="91" customWidth="1"/>
    <col min="13586" max="13586" width="12.28515625" style="91" customWidth="1"/>
    <col min="13587" max="13587" width="12.140625" style="91" customWidth="1"/>
    <col min="13588" max="13589" width="12.28515625" style="91" customWidth="1"/>
    <col min="13590" max="13590" width="21.140625" style="91" customWidth="1"/>
    <col min="13591" max="13827" width="8.7109375" style="91"/>
    <col min="13828" max="13828" width="41.7109375" style="91" customWidth="1"/>
    <col min="13829" max="13833" width="15.85546875" style="91" customWidth="1"/>
    <col min="13834" max="13834" width="20.42578125" style="91" customWidth="1"/>
    <col min="13835" max="13835" width="19.85546875" style="91" customWidth="1"/>
    <col min="13836" max="13838" width="12.28515625" style="91" customWidth="1"/>
    <col min="13839" max="13839" width="12.85546875" style="91" customWidth="1"/>
    <col min="13840" max="13840" width="12" style="91" customWidth="1"/>
    <col min="13841" max="13841" width="12.5703125" style="91" customWidth="1"/>
    <col min="13842" max="13842" width="12.28515625" style="91" customWidth="1"/>
    <col min="13843" max="13843" width="12.140625" style="91" customWidth="1"/>
    <col min="13844" max="13845" width="12.28515625" style="91" customWidth="1"/>
    <col min="13846" max="13846" width="21.140625" style="91" customWidth="1"/>
    <col min="13847" max="14083" width="8.7109375" style="91"/>
    <col min="14084" max="14084" width="41.7109375" style="91" customWidth="1"/>
    <col min="14085" max="14089" width="15.85546875" style="91" customWidth="1"/>
    <col min="14090" max="14090" width="20.42578125" style="91" customWidth="1"/>
    <col min="14091" max="14091" width="19.85546875" style="91" customWidth="1"/>
    <col min="14092" max="14094" width="12.28515625" style="91" customWidth="1"/>
    <col min="14095" max="14095" width="12.85546875" style="91" customWidth="1"/>
    <col min="14096" max="14096" width="12" style="91" customWidth="1"/>
    <col min="14097" max="14097" width="12.5703125" style="91" customWidth="1"/>
    <col min="14098" max="14098" width="12.28515625" style="91" customWidth="1"/>
    <col min="14099" max="14099" width="12.140625" style="91" customWidth="1"/>
    <col min="14100" max="14101" width="12.28515625" style="91" customWidth="1"/>
    <col min="14102" max="14102" width="21.140625" style="91" customWidth="1"/>
    <col min="14103" max="14339" width="8.7109375" style="91"/>
    <col min="14340" max="14340" width="41.7109375" style="91" customWidth="1"/>
    <col min="14341" max="14345" width="15.85546875" style="91" customWidth="1"/>
    <col min="14346" max="14346" width="20.42578125" style="91" customWidth="1"/>
    <col min="14347" max="14347" width="19.85546875" style="91" customWidth="1"/>
    <col min="14348" max="14350" width="12.28515625" style="91" customWidth="1"/>
    <col min="14351" max="14351" width="12.85546875" style="91" customWidth="1"/>
    <col min="14352" max="14352" width="12" style="91" customWidth="1"/>
    <col min="14353" max="14353" width="12.5703125" style="91" customWidth="1"/>
    <col min="14354" max="14354" width="12.28515625" style="91" customWidth="1"/>
    <col min="14355" max="14355" width="12.140625" style="91" customWidth="1"/>
    <col min="14356" max="14357" width="12.28515625" style="91" customWidth="1"/>
    <col min="14358" max="14358" width="21.140625" style="91" customWidth="1"/>
    <col min="14359" max="14595" width="8.7109375" style="91"/>
    <col min="14596" max="14596" width="41.7109375" style="91" customWidth="1"/>
    <col min="14597" max="14601" width="15.85546875" style="91" customWidth="1"/>
    <col min="14602" max="14602" width="20.42578125" style="91" customWidth="1"/>
    <col min="14603" max="14603" width="19.85546875" style="91" customWidth="1"/>
    <col min="14604" max="14606" width="12.28515625" style="91" customWidth="1"/>
    <col min="14607" max="14607" width="12.85546875" style="91" customWidth="1"/>
    <col min="14608" max="14608" width="12" style="91" customWidth="1"/>
    <col min="14609" max="14609" width="12.5703125" style="91" customWidth="1"/>
    <col min="14610" max="14610" width="12.28515625" style="91" customWidth="1"/>
    <col min="14611" max="14611" width="12.140625" style="91" customWidth="1"/>
    <col min="14612" max="14613" width="12.28515625" style="91" customWidth="1"/>
    <col min="14614" max="14614" width="21.140625" style="91" customWidth="1"/>
    <col min="14615" max="14851" width="8.7109375" style="91"/>
    <col min="14852" max="14852" width="41.7109375" style="91" customWidth="1"/>
    <col min="14853" max="14857" width="15.85546875" style="91" customWidth="1"/>
    <col min="14858" max="14858" width="20.42578125" style="91" customWidth="1"/>
    <col min="14859" max="14859" width="19.85546875" style="91" customWidth="1"/>
    <col min="14860" max="14862" width="12.28515625" style="91" customWidth="1"/>
    <col min="14863" max="14863" width="12.85546875" style="91" customWidth="1"/>
    <col min="14864" max="14864" width="12" style="91" customWidth="1"/>
    <col min="14865" max="14865" width="12.5703125" style="91" customWidth="1"/>
    <col min="14866" max="14866" width="12.28515625" style="91" customWidth="1"/>
    <col min="14867" max="14867" width="12.140625" style="91" customWidth="1"/>
    <col min="14868" max="14869" width="12.28515625" style="91" customWidth="1"/>
    <col min="14870" max="14870" width="21.140625" style="91" customWidth="1"/>
    <col min="14871" max="15107" width="8.7109375" style="91"/>
    <col min="15108" max="15108" width="41.7109375" style="91" customWidth="1"/>
    <col min="15109" max="15113" width="15.85546875" style="91" customWidth="1"/>
    <col min="15114" max="15114" width="20.42578125" style="91" customWidth="1"/>
    <col min="15115" max="15115" width="19.85546875" style="91" customWidth="1"/>
    <col min="15116" max="15118" width="12.28515625" style="91" customWidth="1"/>
    <col min="15119" max="15119" width="12.85546875" style="91" customWidth="1"/>
    <col min="15120" max="15120" width="12" style="91" customWidth="1"/>
    <col min="15121" max="15121" width="12.5703125" style="91" customWidth="1"/>
    <col min="15122" max="15122" width="12.28515625" style="91" customWidth="1"/>
    <col min="15123" max="15123" width="12.140625" style="91" customWidth="1"/>
    <col min="15124" max="15125" width="12.28515625" style="91" customWidth="1"/>
    <col min="15126" max="15126" width="21.140625" style="91" customWidth="1"/>
    <col min="15127" max="15363" width="8.7109375" style="91"/>
    <col min="15364" max="15364" width="41.7109375" style="91" customWidth="1"/>
    <col min="15365" max="15369" width="15.85546875" style="91" customWidth="1"/>
    <col min="15370" max="15370" width="20.42578125" style="91" customWidth="1"/>
    <col min="15371" max="15371" width="19.85546875" style="91" customWidth="1"/>
    <col min="15372" max="15374" width="12.28515625" style="91" customWidth="1"/>
    <col min="15375" max="15375" width="12.85546875" style="91" customWidth="1"/>
    <col min="15376" max="15376" width="12" style="91" customWidth="1"/>
    <col min="15377" max="15377" width="12.5703125" style="91" customWidth="1"/>
    <col min="15378" max="15378" width="12.28515625" style="91" customWidth="1"/>
    <col min="15379" max="15379" width="12.140625" style="91" customWidth="1"/>
    <col min="15380" max="15381" width="12.28515625" style="91" customWidth="1"/>
    <col min="15382" max="15382" width="21.140625" style="91" customWidth="1"/>
    <col min="15383" max="15619" width="8.7109375" style="91"/>
    <col min="15620" max="15620" width="41.7109375" style="91" customWidth="1"/>
    <col min="15621" max="15625" width="15.85546875" style="91" customWidth="1"/>
    <col min="15626" max="15626" width="20.42578125" style="91" customWidth="1"/>
    <col min="15627" max="15627" width="19.85546875" style="91" customWidth="1"/>
    <col min="15628" max="15630" width="12.28515625" style="91" customWidth="1"/>
    <col min="15631" max="15631" width="12.85546875" style="91" customWidth="1"/>
    <col min="15632" max="15632" width="12" style="91" customWidth="1"/>
    <col min="15633" max="15633" width="12.5703125" style="91" customWidth="1"/>
    <col min="15634" max="15634" width="12.28515625" style="91" customWidth="1"/>
    <col min="15635" max="15635" width="12.140625" style="91" customWidth="1"/>
    <col min="15636" max="15637" width="12.28515625" style="91" customWidth="1"/>
    <col min="15638" max="15638" width="21.140625" style="91" customWidth="1"/>
    <col min="15639" max="15875" width="8.7109375" style="91"/>
    <col min="15876" max="15876" width="41.7109375" style="91" customWidth="1"/>
    <col min="15877" max="15881" width="15.85546875" style="91" customWidth="1"/>
    <col min="15882" max="15882" width="20.42578125" style="91" customWidth="1"/>
    <col min="15883" max="15883" width="19.85546875" style="91" customWidth="1"/>
    <col min="15884" max="15886" width="12.28515625" style="91" customWidth="1"/>
    <col min="15887" max="15887" width="12.85546875" style="91" customWidth="1"/>
    <col min="15888" max="15888" width="12" style="91" customWidth="1"/>
    <col min="15889" max="15889" width="12.5703125" style="91" customWidth="1"/>
    <col min="15890" max="15890" width="12.28515625" style="91" customWidth="1"/>
    <col min="15891" max="15891" width="12.140625" style="91" customWidth="1"/>
    <col min="15892" max="15893" width="12.28515625" style="91" customWidth="1"/>
    <col min="15894" max="15894" width="21.140625" style="91" customWidth="1"/>
    <col min="15895" max="16131" width="8.7109375" style="91"/>
    <col min="16132" max="16132" width="41.7109375" style="91" customWidth="1"/>
    <col min="16133" max="16137" width="15.85546875" style="91" customWidth="1"/>
    <col min="16138" max="16138" width="20.42578125" style="91" customWidth="1"/>
    <col min="16139" max="16139" width="19.85546875" style="91" customWidth="1"/>
    <col min="16140" max="16142" width="12.28515625" style="91" customWidth="1"/>
    <col min="16143" max="16143" width="12.85546875" style="91" customWidth="1"/>
    <col min="16144" max="16144" width="12" style="91" customWidth="1"/>
    <col min="16145" max="16145" width="12.5703125" style="91" customWidth="1"/>
    <col min="16146" max="16146" width="12.28515625" style="91" customWidth="1"/>
    <col min="16147" max="16147" width="12.140625" style="91" customWidth="1"/>
    <col min="16148" max="16149" width="12.28515625" style="91" customWidth="1"/>
    <col min="16150" max="16150" width="21.140625" style="91" customWidth="1"/>
    <col min="16151" max="16384" width="8.7109375" style="91"/>
  </cols>
  <sheetData>
    <row r="1" spans="1:22" ht="22.5" customHeight="1">
      <c r="J1" s="90"/>
      <c r="T1" s="289"/>
      <c r="U1" s="289"/>
    </row>
    <row r="2" spans="1:22" ht="26.25" customHeight="1">
      <c r="A2" s="173"/>
      <c r="B2" s="174" t="s">
        <v>98</v>
      </c>
      <c r="C2" s="97"/>
      <c r="D2" s="97"/>
      <c r="E2" s="97"/>
      <c r="F2" s="97"/>
      <c r="G2" s="97"/>
      <c r="H2" s="97"/>
      <c r="I2" s="97"/>
      <c r="J2" s="97"/>
      <c r="K2" s="173"/>
      <c r="L2" s="175"/>
      <c r="M2" s="173"/>
      <c r="N2" s="173"/>
      <c r="O2" s="173"/>
      <c r="P2" s="173"/>
      <c r="Q2" s="173"/>
      <c r="S2" s="289"/>
      <c r="T2" s="289"/>
      <c r="U2" s="289"/>
    </row>
    <row r="3" spans="1:22" ht="27.75" customHeight="1">
      <c r="A3" s="173"/>
      <c r="B3" s="103" t="str">
        <f>'1_до 15 кВт'!B7</f>
        <v>наименование ТСО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22" ht="27.75" customHeight="1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22" ht="27" customHeight="1">
      <c r="B5" s="290" t="s">
        <v>244</v>
      </c>
      <c r="C5" s="291"/>
      <c r="D5" s="291"/>
      <c r="E5" s="291"/>
      <c r="F5" s="291"/>
      <c r="G5" s="291"/>
      <c r="H5" s="291"/>
      <c r="I5" s="292"/>
      <c r="J5" s="293" t="s">
        <v>245</v>
      </c>
      <c r="K5" s="293"/>
      <c r="L5" s="293"/>
      <c r="M5" s="293"/>
      <c r="N5" s="293"/>
      <c r="O5" s="293"/>
      <c r="P5" s="293"/>
      <c r="Q5" s="293" t="s">
        <v>246</v>
      </c>
      <c r="R5" s="293"/>
      <c r="S5" s="293"/>
      <c r="T5" s="293"/>
      <c r="U5" s="293"/>
    </row>
    <row r="6" spans="1:22" ht="37.5" customHeight="1">
      <c r="B6" s="282" t="s">
        <v>99</v>
      </c>
      <c r="C6" s="282" t="s">
        <v>100</v>
      </c>
      <c r="D6" s="282"/>
      <c r="E6" s="282" t="s">
        <v>101</v>
      </c>
      <c r="F6" s="282"/>
      <c r="G6" s="282"/>
      <c r="H6" s="282"/>
      <c r="I6" s="282"/>
      <c r="J6" s="283" t="s">
        <v>100</v>
      </c>
      <c r="K6" s="283"/>
      <c r="L6" s="282" t="s">
        <v>101</v>
      </c>
      <c r="M6" s="282"/>
      <c r="N6" s="282"/>
      <c r="O6" s="282"/>
      <c r="P6" s="282"/>
      <c r="Q6" s="282" t="s">
        <v>101</v>
      </c>
      <c r="R6" s="282"/>
      <c r="S6" s="282"/>
      <c r="T6" s="282"/>
      <c r="U6" s="282"/>
    </row>
    <row r="7" spans="1:22" ht="13.5" customHeight="1">
      <c r="B7" s="282"/>
      <c r="C7" s="282"/>
      <c r="D7" s="282"/>
      <c r="E7" s="105" t="s">
        <v>139</v>
      </c>
      <c r="F7" s="105" t="s">
        <v>140</v>
      </c>
      <c r="G7" s="105" t="s">
        <v>141</v>
      </c>
      <c r="H7" s="105" t="s">
        <v>142</v>
      </c>
      <c r="I7" s="105" t="s">
        <v>106</v>
      </c>
      <c r="J7" s="283"/>
      <c r="K7" s="283"/>
      <c r="L7" s="105" t="s">
        <v>139</v>
      </c>
      <c r="M7" s="105" t="s">
        <v>140</v>
      </c>
      <c r="N7" s="105" t="s">
        <v>141</v>
      </c>
      <c r="O7" s="105" t="s">
        <v>142</v>
      </c>
      <c r="P7" s="106" t="s">
        <v>106</v>
      </c>
      <c r="Q7" s="105" t="s">
        <v>139</v>
      </c>
      <c r="R7" s="105" t="s">
        <v>140</v>
      </c>
      <c r="S7" s="105" t="s">
        <v>141</v>
      </c>
      <c r="T7" s="105" t="s">
        <v>142</v>
      </c>
      <c r="U7" s="106" t="s">
        <v>106</v>
      </c>
    </row>
    <row r="8" spans="1:22" ht="17.25" customHeight="1">
      <c r="B8" s="107"/>
      <c r="C8" s="105" t="s">
        <v>137</v>
      </c>
      <c r="D8" s="117" t="s">
        <v>138</v>
      </c>
      <c r="E8" s="105" t="s">
        <v>107</v>
      </c>
      <c r="F8" s="105" t="s">
        <v>107</v>
      </c>
      <c r="G8" s="105" t="s">
        <v>107</v>
      </c>
      <c r="H8" s="105" t="s">
        <v>107</v>
      </c>
      <c r="I8" s="105" t="s">
        <v>107</v>
      </c>
      <c r="J8" s="105" t="s">
        <v>137</v>
      </c>
      <c r="K8" s="117" t="s">
        <v>138</v>
      </c>
      <c r="L8" s="105" t="s">
        <v>107</v>
      </c>
      <c r="M8" s="105" t="s">
        <v>107</v>
      </c>
      <c r="N8" s="105" t="s">
        <v>107</v>
      </c>
      <c r="O8" s="105" t="s">
        <v>107</v>
      </c>
      <c r="P8" s="106" t="s">
        <v>107</v>
      </c>
      <c r="Q8" s="108"/>
      <c r="R8" s="108"/>
      <c r="S8" s="108"/>
      <c r="T8" s="108"/>
      <c r="U8" s="108"/>
    </row>
    <row r="9" spans="1:22" s="90" customFormat="1" ht="22.5" customHeight="1">
      <c r="B9" s="109" t="s">
        <v>4</v>
      </c>
      <c r="C9" s="109"/>
      <c r="D9" s="110"/>
      <c r="E9" s="28"/>
      <c r="F9" s="28"/>
      <c r="G9" s="28"/>
      <c r="H9" s="28"/>
      <c r="I9" s="114">
        <f>SUM(E9:H9)</f>
        <v>0</v>
      </c>
      <c r="J9" s="111"/>
      <c r="K9" s="111"/>
      <c r="L9" s="28"/>
      <c r="M9" s="28"/>
      <c r="N9" s="28"/>
      <c r="O9" s="28"/>
      <c r="P9" s="114">
        <f>SUM(L9:O9)</f>
        <v>0</v>
      </c>
      <c r="Q9" s="28"/>
      <c r="R9" s="28"/>
      <c r="S9" s="28"/>
      <c r="T9" s="28"/>
      <c r="U9" s="114">
        <f>SUM(Q9:T9)</f>
        <v>0</v>
      </c>
    </row>
    <row r="10" spans="1:22" s="90" customFormat="1" ht="22.5" customHeight="1" outlineLevel="1">
      <c r="B10" s="109" t="s">
        <v>5</v>
      </c>
      <c r="C10" s="109"/>
      <c r="D10" s="110"/>
      <c r="E10" s="28"/>
      <c r="F10" s="28"/>
      <c r="G10" s="28"/>
      <c r="H10" s="28"/>
      <c r="I10" s="114">
        <f t="shared" ref="I10:I11" si="0">SUM(E10:H10)</f>
        <v>0</v>
      </c>
      <c r="J10" s="111"/>
      <c r="K10" s="111"/>
      <c r="L10" s="28"/>
      <c r="M10" s="28"/>
      <c r="N10" s="28"/>
      <c r="O10" s="28"/>
      <c r="P10" s="114">
        <f t="shared" ref="P10:P11" si="1">SUM(L10:O10)</f>
        <v>0</v>
      </c>
      <c r="Q10" s="28"/>
      <c r="R10" s="28"/>
      <c r="S10" s="28"/>
      <c r="T10" s="28"/>
      <c r="U10" s="114">
        <f t="shared" ref="U10:U11" si="2">SUM(Q10:T10)</f>
        <v>0</v>
      </c>
    </row>
    <row r="11" spans="1:22" s="90" customFormat="1" ht="22.5" customHeight="1" outlineLevel="1">
      <c r="B11" s="118" t="s">
        <v>143</v>
      </c>
      <c r="C11" s="109"/>
      <c r="D11" s="110"/>
      <c r="E11" s="28"/>
      <c r="F11" s="28"/>
      <c r="G11" s="28"/>
      <c r="H11" s="28"/>
      <c r="I11" s="114">
        <f t="shared" si="0"/>
        <v>0</v>
      </c>
      <c r="J11" s="111"/>
      <c r="K11" s="111"/>
      <c r="L11" s="28"/>
      <c r="M11" s="28"/>
      <c r="N11" s="28"/>
      <c r="O11" s="28"/>
      <c r="P11" s="114">
        <f t="shared" si="1"/>
        <v>0</v>
      </c>
      <c r="Q11" s="28"/>
      <c r="R11" s="28"/>
      <c r="S11" s="28"/>
      <c r="T11" s="28"/>
      <c r="U11" s="114">
        <f t="shared" si="2"/>
        <v>0</v>
      </c>
    </row>
    <row r="12" spans="1:22" s="90" customFormat="1" ht="65.25" customHeight="1" outlineLevel="1">
      <c r="B12" s="112"/>
      <c r="C12" s="112"/>
      <c r="D12" s="113" t="s">
        <v>108</v>
      </c>
      <c r="E12" s="114">
        <f>SUM(E9:E11)</f>
        <v>0</v>
      </c>
      <c r="F12" s="114">
        <f>SUM(F9:F11)</f>
        <v>0</v>
      </c>
      <c r="G12" s="114">
        <f>SUM(G9:G11)</f>
        <v>0</v>
      </c>
      <c r="H12" s="114">
        <f>SUM(H9:H11)</f>
        <v>0</v>
      </c>
      <c r="I12" s="115">
        <f>SUM(I9:I11)</f>
        <v>0</v>
      </c>
      <c r="J12" s="284"/>
      <c r="K12" s="284"/>
      <c r="L12" s="114">
        <f>SUM(L9:L11)</f>
        <v>0</v>
      </c>
      <c r="M12" s="114">
        <f>SUM(M9:M11)</f>
        <v>0</v>
      </c>
      <c r="N12" s="114">
        <f>SUM(N9:N11)</f>
        <v>0</v>
      </c>
      <c r="O12" s="114">
        <f>SUM(O9:O11)</f>
        <v>0</v>
      </c>
      <c r="P12" s="116">
        <f>SUM(P9:P11)</f>
        <v>0</v>
      </c>
      <c r="Q12" s="28"/>
      <c r="R12" s="28"/>
      <c r="S12" s="28"/>
      <c r="T12" s="28"/>
      <c r="U12" s="116">
        <f>Q12+R12+S12+T12</f>
        <v>0</v>
      </c>
    </row>
    <row r="13" spans="1:22" s="90" customFormat="1" ht="90" customHeight="1" outlineLevel="1">
      <c r="B13" s="112"/>
      <c r="C13" s="112"/>
      <c r="D13" s="113" t="s">
        <v>109</v>
      </c>
      <c r="E13" s="114">
        <f>E12*0.95</f>
        <v>0</v>
      </c>
      <c r="F13" s="114">
        <f>F12*0.95</f>
        <v>0</v>
      </c>
      <c r="G13" s="114">
        <f>G12*0.95</f>
        <v>0</v>
      </c>
      <c r="H13" s="114">
        <f>H12*0.95</f>
        <v>0</v>
      </c>
      <c r="I13" s="115">
        <f>E13+F13+G13+H13</f>
        <v>0</v>
      </c>
      <c r="J13" s="284"/>
      <c r="K13" s="284"/>
      <c r="L13" s="114">
        <f>L12*0.95</f>
        <v>0</v>
      </c>
      <c r="M13" s="114">
        <f>M12*0.95</f>
        <v>0</v>
      </c>
      <c r="N13" s="114">
        <f>N12*0.95</f>
        <v>0</v>
      </c>
      <c r="O13" s="114">
        <f>O12*0.95</f>
        <v>0</v>
      </c>
      <c r="P13" s="115">
        <f>L13+M13+N13+O13</f>
        <v>0</v>
      </c>
      <c r="Q13" s="28"/>
      <c r="R13" s="28"/>
      <c r="S13" s="28"/>
      <c r="T13" s="28"/>
      <c r="U13" s="116">
        <f>Q13+R13+S13+T13</f>
        <v>0</v>
      </c>
    </row>
    <row r="14" spans="1:22" s="90" customFormat="1" ht="17.25" customHeight="1" outlineLevel="1">
      <c r="B14" s="93"/>
      <c r="C14" s="93"/>
      <c r="D14" s="94"/>
      <c r="E14" s="95"/>
      <c r="F14" s="95"/>
      <c r="G14" s="95"/>
      <c r="H14" s="95"/>
      <c r="I14" s="95"/>
      <c r="J14" s="95"/>
      <c r="K14" s="93"/>
      <c r="L14" s="96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 s="90" customFormat="1" ht="18" customHeight="1" outlineLevel="1">
      <c r="B15" s="93"/>
      <c r="C15" s="93"/>
      <c r="D15" s="94"/>
      <c r="E15" s="95"/>
      <c r="F15" s="95"/>
      <c r="G15" s="95"/>
      <c r="H15" s="95"/>
      <c r="I15" s="119">
        <f>7.25%+2%</f>
        <v>9.2499999999999999E-2</v>
      </c>
      <c r="J15" s="95"/>
      <c r="K15" s="93"/>
      <c r="L15" s="96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 s="98" customFormat="1" ht="26.25" customHeight="1" outlineLevel="1">
      <c r="B16" s="90"/>
      <c r="C16" s="90"/>
      <c r="D16" s="90"/>
      <c r="E16" s="90"/>
      <c r="F16" s="90"/>
      <c r="G16" s="97"/>
      <c r="H16" s="97"/>
      <c r="I16" s="97"/>
      <c r="L16" s="99"/>
    </row>
    <row r="17" spans="3:15" ht="33.75" customHeight="1">
      <c r="C17" s="285" t="s">
        <v>110</v>
      </c>
      <c r="D17" s="287" t="s">
        <v>111</v>
      </c>
      <c r="E17" s="288" t="s">
        <v>112</v>
      </c>
      <c r="F17" s="288"/>
      <c r="G17" s="288"/>
      <c r="H17" s="288"/>
      <c r="I17" s="288"/>
    </row>
    <row r="18" spans="3:15" ht="129.75" customHeight="1">
      <c r="C18" s="286"/>
      <c r="D18" s="287"/>
      <c r="E18" s="121" t="s">
        <v>113</v>
      </c>
      <c r="F18" s="121" t="s">
        <v>175</v>
      </c>
      <c r="G18" s="121" t="s">
        <v>114</v>
      </c>
      <c r="H18" s="121" t="s">
        <v>115</v>
      </c>
      <c r="I18" s="121" t="s">
        <v>116</v>
      </c>
      <c r="M18" s="100"/>
      <c r="N18" s="101"/>
      <c r="O18" s="101"/>
    </row>
    <row r="19" spans="3:15" ht="29.25" customHeight="1">
      <c r="C19" s="120" t="s">
        <v>4</v>
      </c>
      <c r="D19" s="120" t="s">
        <v>247</v>
      </c>
      <c r="E19" s="115">
        <f>E20+E21+E22+E23</f>
        <v>0</v>
      </c>
      <c r="F19" s="115">
        <f>F20+F21+F22+F23</f>
        <v>0</v>
      </c>
      <c r="G19" s="115">
        <f>G20+G21+G22+G23</f>
        <v>0</v>
      </c>
      <c r="H19" s="114">
        <f>H20+H21+H22+H23</f>
        <v>0</v>
      </c>
      <c r="I19" s="115">
        <f>I20+I21+I22+I23</f>
        <v>0</v>
      </c>
    </row>
    <row r="20" spans="3:15" ht="18" customHeight="1">
      <c r="C20" s="121" t="s">
        <v>22</v>
      </c>
      <c r="D20" s="121" t="s">
        <v>102</v>
      </c>
      <c r="E20" s="108"/>
      <c r="F20" s="108"/>
      <c r="G20" s="121"/>
      <c r="H20" s="121"/>
      <c r="I20" s="114">
        <f>E20+F20+G20+H20</f>
        <v>0</v>
      </c>
      <c r="K20" s="102"/>
    </row>
    <row r="21" spans="3:15" ht="18" customHeight="1">
      <c r="C21" s="121" t="s">
        <v>23</v>
      </c>
      <c r="D21" s="121" t="s">
        <v>103</v>
      </c>
      <c r="E21" s="114">
        <f>(E12*0.95)*($I$15/4)</f>
        <v>0</v>
      </c>
      <c r="F21" s="105"/>
      <c r="G21" s="121"/>
      <c r="H21" s="121"/>
      <c r="I21" s="114">
        <f>E21+F21+G21+H21</f>
        <v>0</v>
      </c>
    </row>
    <row r="22" spans="3:15" ht="18" customHeight="1">
      <c r="C22" s="121" t="s">
        <v>24</v>
      </c>
      <c r="D22" s="121" t="s">
        <v>104</v>
      </c>
      <c r="E22" s="114">
        <f>$E$12*0.95*(1-1/12)*($I$15/4)</f>
        <v>0</v>
      </c>
      <c r="F22" s="114">
        <f>(F12*0.95)*($I$15/4)</f>
        <v>0</v>
      </c>
      <c r="G22" s="121"/>
      <c r="H22" s="121"/>
      <c r="I22" s="114">
        <f>E22+F22+G22+H22</f>
        <v>0</v>
      </c>
    </row>
    <row r="23" spans="3:15" ht="18" customHeight="1">
      <c r="C23" s="121" t="s">
        <v>25</v>
      </c>
      <c r="D23" s="121" t="s">
        <v>105</v>
      </c>
      <c r="E23" s="114">
        <f>$E$12*0.95*((1-1/12*2)*($I$15/4))</f>
        <v>0</v>
      </c>
      <c r="F23" s="114">
        <f>F12*0.95*(1-1/12)*($I$15/4)</f>
        <v>0</v>
      </c>
      <c r="G23" s="114">
        <f>($G$12*0.95)*($I$15/4)</f>
        <v>0</v>
      </c>
      <c r="H23" s="105"/>
      <c r="I23" s="114">
        <f>E23+F23+G23+H23</f>
        <v>0</v>
      </c>
    </row>
    <row r="24" spans="3:15" ht="27.75" customHeight="1">
      <c r="C24" s="120" t="s">
        <v>5</v>
      </c>
      <c r="D24" s="120" t="s">
        <v>248</v>
      </c>
      <c r="E24" s="115">
        <f>E25+E26+E27+E28</f>
        <v>0</v>
      </c>
      <c r="F24" s="115">
        <f>F25+F26+F27+F28</f>
        <v>0</v>
      </c>
      <c r="G24" s="115">
        <f>G25+G26+G27+G28</f>
        <v>0</v>
      </c>
      <c r="H24" s="115">
        <f>H25+H26+H27+H28</f>
        <v>0</v>
      </c>
      <c r="I24" s="115">
        <f>I25+I26+I27+I28</f>
        <v>0</v>
      </c>
    </row>
    <row r="25" spans="3:15" ht="18" customHeight="1">
      <c r="C25" s="121" t="s">
        <v>27</v>
      </c>
      <c r="D25" s="121" t="s">
        <v>117</v>
      </c>
      <c r="E25" s="114">
        <f>$E$12*0.95*(1-1/12*3)*($I$15/4)</f>
        <v>0</v>
      </c>
      <c r="F25" s="114">
        <f>$F$12*0.95*(1-1/12*2)*($I$15/4)</f>
        <v>0</v>
      </c>
      <c r="G25" s="114">
        <f>($G$12*0.95*(1-1/12))*($I$15/4)</f>
        <v>0</v>
      </c>
      <c r="H25" s="114">
        <f>$H$12*0.95*$I$15/4</f>
        <v>0</v>
      </c>
      <c r="I25" s="114">
        <f>E25+F25+G25+H25</f>
        <v>0</v>
      </c>
    </row>
    <row r="26" spans="3:15" ht="18" customHeight="1">
      <c r="C26" s="121" t="s">
        <v>29</v>
      </c>
      <c r="D26" s="121" t="s">
        <v>118</v>
      </c>
      <c r="E26" s="114">
        <f>$E$12*0.95*(1-1/12*4)*($I$15/4)+$L$12*0.95*$I$15/4</f>
        <v>0</v>
      </c>
      <c r="F26" s="114">
        <f>$F$12*0.95*(1-1/12*3)*($I$15/4)</f>
        <v>0</v>
      </c>
      <c r="G26" s="114">
        <f>($G$12*0.95*(1-1/12*2))*($I$15/4)</f>
        <v>0</v>
      </c>
      <c r="H26" s="114">
        <f>$H$12*0.95*(1-1/12)*$I$15/4</f>
        <v>0</v>
      </c>
      <c r="I26" s="114">
        <f>E26+F26+G26+H26</f>
        <v>0</v>
      </c>
    </row>
    <row r="27" spans="3:15" ht="18" customHeight="1">
      <c r="C27" s="121" t="s">
        <v>31</v>
      </c>
      <c r="D27" s="121" t="s">
        <v>119</v>
      </c>
      <c r="E27" s="114">
        <f>$E$12*0.95*(1-1/12*5)*($I$15/4)+$L$12*0.95*(1-1/12)*$I$15/4</f>
        <v>0</v>
      </c>
      <c r="F27" s="114">
        <f>$F$12*0.95*(1-1/12*4)*($I$15/4)+$M$12*0.95*$I$15/4</f>
        <v>0</v>
      </c>
      <c r="G27" s="114">
        <f>($G$12*0.95*(1-1/12*3))*($I$15/4)</f>
        <v>0</v>
      </c>
      <c r="H27" s="114">
        <f>$H$12*0.95*(1-1/12*2)*$I$15/4</f>
        <v>0</v>
      </c>
      <c r="I27" s="114">
        <f>E27+F27+G27+H27</f>
        <v>0</v>
      </c>
    </row>
    <row r="28" spans="3:15" ht="18" customHeight="1">
      <c r="C28" s="121" t="s">
        <v>32</v>
      </c>
      <c r="D28" s="121" t="s">
        <v>120</v>
      </c>
      <c r="E28" s="114">
        <f>$E$12*0.95*(1-1/12*6)*($I$15/4)+$L$12*0.95*(1-1/12*2)*$I$15/4</f>
        <v>0</v>
      </c>
      <c r="F28" s="114">
        <f>$F$12*0.95*(1-1/12*5)*($I$15/4)+$M$12*0.95*(1-1/12)*$I$15/4</f>
        <v>0</v>
      </c>
      <c r="G28" s="114">
        <f>($G$12*0.95*(1-1/12*4))*($I$15/4)+($N$12*0.95)*$I$15/4</f>
        <v>0</v>
      </c>
      <c r="H28" s="114">
        <f>$H$12*0.95*(1-1/12*3)*$I$15/4</f>
        <v>0</v>
      </c>
      <c r="I28" s="114">
        <f>E28+F28+G28+H28</f>
        <v>0</v>
      </c>
    </row>
    <row r="29" spans="3:15" ht="25.5" customHeight="1">
      <c r="C29" s="120" t="s">
        <v>19</v>
      </c>
      <c r="D29" s="120" t="s">
        <v>249</v>
      </c>
      <c r="E29" s="115">
        <f>E30+E31+E32+E33</f>
        <v>0</v>
      </c>
      <c r="F29" s="115">
        <f>F30+F31+F32+F33</f>
        <v>0</v>
      </c>
      <c r="G29" s="115">
        <f>G30+G31+G32+G33</f>
        <v>0</v>
      </c>
      <c r="H29" s="115">
        <f>H30+H31+H32+H33</f>
        <v>0</v>
      </c>
      <c r="I29" s="115">
        <f>I30+I31+I32+I33</f>
        <v>0</v>
      </c>
    </row>
    <row r="30" spans="3:15" ht="18" customHeight="1">
      <c r="C30" s="121" t="s">
        <v>37</v>
      </c>
      <c r="D30" s="121" t="s">
        <v>121</v>
      </c>
      <c r="E30" s="114">
        <f>$E$12*0.95*(1-1/12*7)*($I$15/4)+$L$12*0.95*(1-1/12*3)*$I$15/4</f>
        <v>0</v>
      </c>
      <c r="F30" s="114">
        <f>$F$12*0.95*(1-1/12*6)*($I$15/4)+$M$12*0.95*(1-1/12*2)*$I$15/4</f>
        <v>0</v>
      </c>
      <c r="G30" s="114">
        <f>($G$12*0.95*(1-1/12*5))*($I$15/4)+($N$12*0.95*(1-1/12))*$I$15/4</f>
        <v>0</v>
      </c>
      <c r="H30" s="114">
        <f>$H$12*0.95*(1-1/12*4)*$I$15/4+$O$12*0.95*$I$15/4</f>
        <v>0</v>
      </c>
      <c r="I30" s="114">
        <f>E30+F30+G30+H30</f>
        <v>0</v>
      </c>
    </row>
    <row r="31" spans="3:15" ht="18" customHeight="1">
      <c r="C31" s="121" t="s">
        <v>39</v>
      </c>
      <c r="D31" s="121" t="s">
        <v>122</v>
      </c>
      <c r="E31" s="114">
        <f>$E$12*0.95*(1-1/12*8)*($I$15/4)+$L$12*0.95*(1-1/12*4)*$I$15/4+$Q$12*0.95*$I$15/4</f>
        <v>0</v>
      </c>
      <c r="F31" s="114">
        <f>$F$12*0.95*(1-1/12*7)*($I$15/4)+$M$12*0.95*(1-1/12*3)*$I$15/4</f>
        <v>0</v>
      </c>
      <c r="G31" s="114">
        <f>($G$12*0.95*(1-1/12*6))*($I$15/4)+($N$12*0.95*(1-1/12*2))*$I$15/4</f>
        <v>0</v>
      </c>
      <c r="H31" s="114">
        <f>$H$12*0.95*(1-1/12*5)*$I$15/4+$O$12*0.95*(1-1/12)*$I$15/4</f>
        <v>0</v>
      </c>
      <c r="I31" s="114">
        <f>E31+F31+G31+H31</f>
        <v>0</v>
      </c>
    </row>
    <row r="32" spans="3:15" ht="18" customHeight="1">
      <c r="C32" s="121" t="s">
        <v>123</v>
      </c>
      <c r="D32" s="121" t="s">
        <v>124</v>
      </c>
      <c r="E32" s="114">
        <f>$E$12*0.95*(1-1/12*9)*($I$15/4)+$L$12*0.95*(1-1/12*5)*$I$15/4+$Q$12*0.95*(1-1/12)*$I$15/4</f>
        <v>0</v>
      </c>
      <c r="F32" s="114">
        <f>$F$12*0.95*(1-1/12*8)*($I$15/4)+$M$12*0.95*(1-1/12*4)*$I$15/4+$R$12*0.95*$I$15/4</f>
        <v>0</v>
      </c>
      <c r="G32" s="114">
        <f>($G$12*0.95*(1-1/12*7))*($I$15/4)+($N$12*0.95*(1-1/12*3))*$I$15/4</f>
        <v>0</v>
      </c>
      <c r="H32" s="114">
        <f>$H$12*0.95*(1-1/12*6)*$I$15/4+$O$12*0.95*(1-1/12*2)*$I$15/4</f>
        <v>0</v>
      </c>
      <c r="I32" s="114">
        <f>E32+F32+G32+H32</f>
        <v>0</v>
      </c>
    </row>
    <row r="33" spans="2:9" ht="18" customHeight="1">
      <c r="C33" s="121" t="s">
        <v>125</v>
      </c>
      <c r="D33" s="121" t="s">
        <v>126</v>
      </c>
      <c r="E33" s="114">
        <f>$E$12*0.95*(1-1/12*10)*($I$15/4)+$L$12*0.95*(1-1/12*6)*$I$15/4+$Q$12*0.95*(1-1/12*2)*$I$15/4</f>
        <v>0</v>
      </c>
      <c r="F33" s="114">
        <f>$F$12*0.95*(1-1/12*9)*($I$15/4)+$M$12*0.95*(1-1/12*5)*$I$15/4+$R$12*0.95*(1-1/12)*$I$15/4</f>
        <v>0</v>
      </c>
      <c r="G33" s="114">
        <f>($G$12*0.95*(1-1/12*8))*($I$15/4)+($N$12*0.95*(1-1/12*4))*$I$15/4+($S$12*0.95)*$I$15/4</f>
        <v>0</v>
      </c>
      <c r="H33" s="114">
        <f>$H$12*0.95*(1-1/12*7)*$I$15/4+$O$12*0.95*(1-1/12*3)*$I$15/4</f>
        <v>0</v>
      </c>
      <c r="I33" s="114">
        <f>E33+F33+G33+H33</f>
        <v>0</v>
      </c>
    </row>
    <row r="34" spans="2:9" ht="25.5" customHeight="1">
      <c r="C34" s="120" t="s">
        <v>20</v>
      </c>
      <c r="D34" s="120" t="s">
        <v>250</v>
      </c>
      <c r="E34" s="115">
        <f>E35+E36+E37+E38</f>
        <v>0</v>
      </c>
      <c r="F34" s="115">
        <f>F35+F36+F37+F38</f>
        <v>0</v>
      </c>
      <c r="G34" s="115">
        <f>G35+G36+G37+G38</f>
        <v>0</v>
      </c>
      <c r="H34" s="115">
        <f>H35+H36+H37+H38</f>
        <v>0</v>
      </c>
      <c r="I34" s="115">
        <f>I35+I36+I37+I38</f>
        <v>0</v>
      </c>
    </row>
    <row r="35" spans="2:9" ht="18" customHeight="1">
      <c r="C35" s="121" t="s">
        <v>127</v>
      </c>
      <c r="D35" s="121" t="s">
        <v>128</v>
      </c>
      <c r="E35" s="114">
        <f>$E$12*0.95*(1-1/12*11)*($I$15/4)+$L$12*0.95*(1-1/12*7)*$I$15/4+$Q$12*0.95*(1-1/12*3)*$I$15/4</f>
        <v>0</v>
      </c>
      <c r="F35" s="114">
        <f>$F$12*0.95*(1-1/12*10)*($I$15/4)+$M$12*0.95*(1-1/12*6)*$I$15/4+$R$12*0.95*(1-1/12*2)*$I$15/4</f>
        <v>0</v>
      </c>
      <c r="G35" s="114">
        <f>($G$12*0.95*(1-1/12*9))*($I$15/4)+($N$12*0.95*(1-1/12*5))*$I$15/4+($S$12*0.95*(1-1/12))*$I$15/4</f>
        <v>0</v>
      </c>
      <c r="H35" s="114">
        <f>$H$12*0.95*(1-1/12*8)*$I$15/4+$O$12*0.95*(1-1/12*4)*$I$15/4+$T$12*0.95*$I$15/4</f>
        <v>0</v>
      </c>
      <c r="I35" s="114">
        <f>E35+F35+G35+H35</f>
        <v>0</v>
      </c>
    </row>
    <row r="36" spans="2:9" ht="18" customHeight="1">
      <c r="C36" s="121" t="s">
        <v>129</v>
      </c>
      <c r="D36" s="121" t="s">
        <v>130</v>
      </c>
      <c r="E36" s="114">
        <f>$E$12*0.95*(1-1/12*12)*($I$15/4)+$L$12*0.95*(1-1/12*8)*$I$15/4+$Q$12*0.95*(1-1/12*4)*$I$15/4+$W$12*0.95*$I$15/4</f>
        <v>0</v>
      </c>
      <c r="F36" s="114">
        <f>$F$12*0.95*(1-1/12*11)*($I$15/4)+$M$12*0.95*(1-1/12*7)*$I$15/4+$R$12*0.95*(1-1/12*3)*$I$15/4</f>
        <v>0</v>
      </c>
      <c r="G36" s="114">
        <f>($G$12*0.95*(1-1/12*10))*($I$15/4)+($N$12*0.95*(1-1/12*6))*$I$15/4+($S$12*0.95*(1-1/12*2))*$I$15/4</f>
        <v>0</v>
      </c>
      <c r="H36" s="114">
        <f>$H$12*0.95*(1-1/12*9)*$I$15/4+$O$12*0.95*(1-1/12*5)*$I$15/4+$T$12*0.95*(1-1/12)*$I$15/4</f>
        <v>0</v>
      </c>
      <c r="I36" s="114">
        <f>E36+F36+G36+H36</f>
        <v>0</v>
      </c>
    </row>
    <row r="37" spans="2:9" ht="18" customHeight="1">
      <c r="C37" s="121" t="s">
        <v>131</v>
      </c>
      <c r="D37" s="121" t="s">
        <v>132</v>
      </c>
      <c r="E37" s="114">
        <f>$L$12*0.95*(1-1/12*9)*$I$15/4+$Q$12*0.95*(1-1/12*5)*$I$15/4+$W$12*0.95*(1-1/12)*$I$15/4</f>
        <v>0</v>
      </c>
      <c r="F37" s="114">
        <f>$F$12*0.95*(1-1/12*12)*($I$15/4)+$M$12*0.95*(1-1/12*8)*$I$15/4+$R$12*0.95*(1-1/12*4)*$I$15/4</f>
        <v>0</v>
      </c>
      <c r="G37" s="114">
        <f>($G$12*0.95*(1-1/12*11))*($I$15/4)+($N$12*0.95*(1-1/12*7))*$I$15/4+($S$12*0.95*(1-1/12*3))*$I$15/4</f>
        <v>0</v>
      </c>
      <c r="H37" s="114">
        <f>$H$12*0.95*(1-1/12*10)*$I$15/4+$O$12*0.95*(1-1/12*6)*$I$15/4+$T$12*0.95*(1-1/12*2)*$I$15/4</f>
        <v>0</v>
      </c>
      <c r="I37" s="114">
        <f>E37+F37+G37+H37</f>
        <v>0</v>
      </c>
    </row>
    <row r="38" spans="2:9" ht="18" customHeight="1">
      <c r="C38" s="121" t="s">
        <v>133</v>
      </c>
      <c r="D38" s="121" t="s">
        <v>134</v>
      </c>
      <c r="E38" s="114">
        <f>$L$12*0.95*(1-1/12*10)*$I$15/4+$Q$12*0.95*(1-1/12*6)*$I$15/4+$W$12*0.95*(1-1/12*2)*$I$15/4</f>
        <v>0</v>
      </c>
      <c r="F38" s="114">
        <f>$M$12*0.95*(1-1/12*9)*$I$15/4+$R$12*0.95*(1-1/12*5)*$I$15/4</f>
        <v>0</v>
      </c>
      <c r="G38" s="114">
        <f>($G$12*0.95*(1-1/12*12))*($I$15/4)+($N$12*0.95*(1-1/12*8))*$I$15/4+($S$12*0.95*(1-1/12*4))*$I$15/4</f>
        <v>0</v>
      </c>
      <c r="H38" s="114">
        <f>$H$12*0.95*(1-1/12*11)*$I$15/4+$O$12*0.95*(1-1/12*7)*$I$15/4+$T$12*0.95*(1-1/12*3)*$I$15/4</f>
        <v>0</v>
      </c>
      <c r="I38" s="114">
        <f>E38+F38+G38+H38</f>
        <v>0</v>
      </c>
    </row>
    <row r="39" spans="2:9" ht="25.5" customHeight="1">
      <c r="C39" s="120" t="s">
        <v>135</v>
      </c>
      <c r="D39" s="120" t="s">
        <v>136</v>
      </c>
      <c r="E39" s="115">
        <f>E19+E24+E29+E34</f>
        <v>0</v>
      </c>
      <c r="F39" s="115">
        <f>F19+F24+F29+F34</f>
        <v>0</v>
      </c>
      <c r="G39" s="115">
        <f>G19+G24+G29+G34</f>
        <v>0</v>
      </c>
      <c r="H39" s="115">
        <f>H19+H24+H29+H34</f>
        <v>0</v>
      </c>
      <c r="I39" s="115">
        <f>I19+I24+I29+I34</f>
        <v>0</v>
      </c>
    </row>
    <row r="40" spans="2:9" ht="11.45" customHeight="1"/>
    <row r="41" spans="2:9" ht="54.75" customHeight="1">
      <c r="B41" s="281" t="s">
        <v>251</v>
      </c>
      <c r="C41" s="281"/>
      <c r="D41" s="281"/>
      <c r="E41" s="281"/>
      <c r="F41" s="281"/>
      <c r="G41" s="281"/>
      <c r="H41" s="281"/>
      <c r="I41" s="281"/>
    </row>
    <row r="42" spans="2:9" ht="11.45" customHeight="1"/>
    <row r="43" spans="2:9">
      <c r="B43" s="241" t="s">
        <v>6</v>
      </c>
      <c r="C43" s="240" t="s">
        <v>7</v>
      </c>
      <c r="D43" s="191"/>
      <c r="E43" s="243"/>
    </row>
    <row r="44" spans="2:9" ht="15">
      <c r="B44" s="239"/>
      <c r="C44" s="240" t="s">
        <v>8</v>
      </c>
      <c r="D44" s="240"/>
      <c r="E44" s="242" t="s">
        <v>243</v>
      </c>
    </row>
  </sheetData>
  <mergeCells count="17">
    <mergeCell ref="L6:P6"/>
    <mergeCell ref="Q6:U6"/>
    <mergeCell ref="T1:U1"/>
    <mergeCell ref="S2:U2"/>
    <mergeCell ref="B5:I5"/>
    <mergeCell ref="J5:P5"/>
    <mergeCell ref="Q5:U5"/>
    <mergeCell ref="C6:D7"/>
    <mergeCell ref="B41:I41"/>
    <mergeCell ref="B6:B7"/>
    <mergeCell ref="E6:I6"/>
    <mergeCell ref="J6:K7"/>
    <mergeCell ref="J12:K12"/>
    <mergeCell ref="J13:K13"/>
    <mergeCell ref="C17:C18"/>
    <mergeCell ref="D17:D18"/>
    <mergeCell ref="E17:I17"/>
  </mergeCells>
  <pageMargins left="0.70866141732283472" right="0.70866141732283472" top="0.74803149606299213" bottom="0.55118110236220474" header="0.31496062992125984" footer="0.31496062992125984"/>
  <pageSetup paperSize="9" scale="48" fitToHeight="0" orientation="landscape" r:id="rId1"/>
  <rowBreaks count="1" manualBreakCount="1">
    <brk id="16" min="1" max="2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3:Y167"/>
  <sheetViews>
    <sheetView view="pageBreakPreview" topLeftCell="A97" zoomScale="80" zoomScaleNormal="100" zoomScaleSheetLayoutView="80" workbookViewId="0">
      <selection activeCell="U126" sqref="U126"/>
    </sheetView>
  </sheetViews>
  <sheetFormatPr defaultRowHeight="12"/>
  <cols>
    <col min="1" max="1" width="4.140625" style="15" customWidth="1"/>
    <col min="2" max="2" width="7" style="16" customWidth="1"/>
    <col min="3" max="3" width="46.28515625" style="16" customWidth="1"/>
    <col min="4" max="4" width="15.28515625" style="16" bestFit="1" customWidth="1"/>
    <col min="5" max="5" width="12.85546875" style="16" customWidth="1"/>
    <col min="6" max="6" width="12.7109375" style="16" customWidth="1"/>
    <col min="7" max="8" width="12.85546875" style="16" customWidth="1"/>
    <col min="9" max="15" width="13.7109375" style="16" customWidth="1"/>
    <col min="16" max="16" width="13.28515625" style="16" customWidth="1"/>
    <col min="17" max="17" width="12.5703125" style="16" customWidth="1"/>
    <col min="18" max="18" width="13.42578125" style="16" customWidth="1"/>
    <col min="19" max="19" width="11.7109375" style="16" customWidth="1"/>
    <col min="20" max="20" width="18.85546875" style="16" customWidth="1"/>
    <col min="21" max="21" width="6.28515625" style="16" customWidth="1"/>
    <col min="22" max="22" width="7.7109375" style="16" customWidth="1"/>
    <col min="23" max="24" width="7.85546875" style="16" customWidth="1"/>
    <col min="25" max="16384" width="9.140625" style="16"/>
  </cols>
  <sheetData>
    <row r="3" spans="1:18">
      <c r="F3" s="17"/>
      <c r="I3" s="17"/>
      <c r="J3" s="17"/>
      <c r="K3" s="17"/>
      <c r="L3" s="17"/>
      <c r="M3" s="17"/>
      <c r="N3" s="17"/>
      <c r="O3" s="17"/>
      <c r="R3" s="17" t="s">
        <v>15</v>
      </c>
    </row>
    <row r="4" spans="1:18" ht="16.5" customHeight="1">
      <c r="B4" s="18" t="s">
        <v>91</v>
      </c>
    </row>
    <row r="5" spans="1:18">
      <c r="B5" s="19" t="s">
        <v>9</v>
      </c>
    </row>
    <row r="6" spans="1:18">
      <c r="B6" s="19"/>
    </row>
    <row r="7" spans="1:18" ht="15">
      <c r="B7" s="20" t="s">
        <v>0</v>
      </c>
    </row>
    <row r="9" spans="1:18" ht="36" customHeight="1">
      <c r="A9" s="21" t="s">
        <v>1</v>
      </c>
      <c r="B9" s="279" t="s">
        <v>2</v>
      </c>
      <c r="C9" s="279" t="s">
        <v>3</v>
      </c>
      <c r="D9" s="280" t="s">
        <v>219</v>
      </c>
      <c r="E9" s="274"/>
      <c r="F9" s="275"/>
      <c r="G9" s="273" t="s">
        <v>220</v>
      </c>
      <c r="H9" s="274"/>
      <c r="I9" s="275"/>
      <c r="J9" s="280" t="s">
        <v>221</v>
      </c>
      <c r="K9" s="274"/>
      <c r="L9" s="275"/>
      <c r="M9" s="273" t="s">
        <v>222</v>
      </c>
      <c r="N9" s="274"/>
      <c r="O9" s="275"/>
      <c r="P9" s="274" t="s">
        <v>187</v>
      </c>
      <c r="Q9" s="274"/>
      <c r="R9" s="276"/>
    </row>
    <row r="10" spans="1:18" ht="74.25" customHeight="1">
      <c r="B10" s="279"/>
      <c r="C10" s="279"/>
      <c r="D10" s="190" t="s">
        <v>10</v>
      </c>
      <c r="E10" s="190" t="s">
        <v>12</v>
      </c>
      <c r="F10" s="51" t="s">
        <v>223</v>
      </c>
      <c r="G10" s="61" t="s">
        <v>16</v>
      </c>
      <c r="H10" s="190" t="s">
        <v>12</v>
      </c>
      <c r="I10" s="51" t="s">
        <v>224</v>
      </c>
      <c r="J10" s="184" t="s">
        <v>10</v>
      </c>
      <c r="K10" s="184" t="s">
        <v>12</v>
      </c>
      <c r="L10" s="51" t="s">
        <v>18</v>
      </c>
      <c r="M10" s="61" t="s">
        <v>16</v>
      </c>
      <c r="N10" s="184" t="s">
        <v>12</v>
      </c>
      <c r="O10" s="51" t="s">
        <v>17</v>
      </c>
      <c r="P10" s="48" t="s">
        <v>16</v>
      </c>
      <c r="Q10" s="47" t="s">
        <v>12</v>
      </c>
      <c r="R10" s="47" t="s">
        <v>17</v>
      </c>
    </row>
    <row r="11" spans="1:18" ht="24" customHeight="1">
      <c r="B11" s="279"/>
      <c r="C11" s="279"/>
      <c r="D11" s="47" t="s">
        <v>11</v>
      </c>
      <c r="E11" s="47" t="s">
        <v>13</v>
      </c>
      <c r="F11" s="51" t="s">
        <v>14</v>
      </c>
      <c r="G11" s="61" t="s">
        <v>11</v>
      </c>
      <c r="H11" s="47" t="s">
        <v>13</v>
      </c>
      <c r="I11" s="51" t="s">
        <v>14</v>
      </c>
      <c r="J11" s="184" t="s">
        <v>11</v>
      </c>
      <c r="K11" s="184" t="s">
        <v>13</v>
      </c>
      <c r="L11" s="51" t="s">
        <v>14</v>
      </c>
      <c r="M11" s="61" t="s">
        <v>11</v>
      </c>
      <c r="N11" s="184" t="s">
        <v>13</v>
      </c>
      <c r="O11" s="51" t="s">
        <v>14</v>
      </c>
      <c r="P11" s="48" t="s">
        <v>11</v>
      </c>
      <c r="Q11" s="47" t="s">
        <v>13</v>
      </c>
      <c r="R11" s="47" t="s">
        <v>14</v>
      </c>
    </row>
    <row r="12" spans="1:18" ht="16.5" customHeight="1">
      <c r="B12" s="24">
        <v>1</v>
      </c>
      <c r="C12" s="24">
        <v>2</v>
      </c>
      <c r="D12" s="24">
        <v>3</v>
      </c>
      <c r="E12" s="24">
        <v>4</v>
      </c>
      <c r="F12" s="52">
        <v>5</v>
      </c>
      <c r="G12" s="62">
        <v>6</v>
      </c>
      <c r="H12" s="24">
        <v>7</v>
      </c>
      <c r="I12" s="52">
        <v>8</v>
      </c>
      <c r="J12" s="218">
        <v>9</v>
      </c>
      <c r="K12" s="218">
        <v>10</v>
      </c>
      <c r="L12" s="218">
        <v>11</v>
      </c>
      <c r="M12" s="218">
        <v>12</v>
      </c>
      <c r="N12" s="218">
        <v>13</v>
      </c>
      <c r="O12" s="218">
        <v>14</v>
      </c>
      <c r="P12" s="50">
        <v>15</v>
      </c>
      <c r="Q12" s="24">
        <v>16</v>
      </c>
      <c r="R12" s="24">
        <v>17</v>
      </c>
    </row>
    <row r="13" spans="1:18" ht="40.5" customHeight="1">
      <c r="A13" s="21"/>
      <c r="B13" s="86" t="s">
        <v>4</v>
      </c>
      <c r="C13" s="87" t="s">
        <v>26</v>
      </c>
      <c r="D13" s="45"/>
      <c r="E13" s="45"/>
      <c r="F13" s="55">
        <f>SUM(F15,F22,F31,F34,F50,F52,F59,F68,F71,F87)</f>
        <v>0</v>
      </c>
      <c r="G13" s="66"/>
      <c r="H13" s="45"/>
      <c r="I13" s="55">
        <f>SUM(I15,I22,I31,I34,I50,I52,I59,I68,I71,I87)</f>
        <v>0</v>
      </c>
      <c r="J13" s="45"/>
      <c r="K13" s="45"/>
      <c r="L13" s="55">
        <f>SUM(L15,L22,L31,L34,L50,L52,L59,L68,L71,L87)</f>
        <v>0</v>
      </c>
      <c r="M13" s="66"/>
      <c r="N13" s="45"/>
      <c r="O13" s="55">
        <f>SUM(O15,O22,O31,O34,O50,O52,O59,O68,O71,O87)</f>
        <v>0</v>
      </c>
      <c r="P13" s="59"/>
      <c r="Q13" s="45"/>
      <c r="R13" s="55">
        <f>SUM(R15,R22,R31,R34,R50,R52,R59,R68,R71,R87)</f>
        <v>0</v>
      </c>
    </row>
    <row r="14" spans="1:18" ht="15.75" customHeight="1">
      <c r="A14" s="21"/>
      <c r="B14" s="294" t="s">
        <v>43</v>
      </c>
      <c r="C14" s="295"/>
      <c r="D14" s="33"/>
      <c r="E14" s="33"/>
      <c r="F14" s="56"/>
      <c r="G14" s="67"/>
      <c r="H14" s="33"/>
      <c r="I14" s="56"/>
      <c r="J14" s="33"/>
      <c r="K14" s="33"/>
      <c r="L14" s="56"/>
      <c r="M14" s="67"/>
      <c r="N14" s="33"/>
      <c r="O14" s="56"/>
      <c r="P14" s="33"/>
      <c r="Q14" s="33"/>
      <c r="R14" s="34"/>
    </row>
    <row r="15" spans="1:18">
      <c r="A15" s="21"/>
      <c r="B15" s="183" t="s">
        <v>22</v>
      </c>
      <c r="C15" s="30" t="s">
        <v>28</v>
      </c>
      <c r="D15" s="35"/>
      <c r="E15" s="88">
        <f>SUM(E16:E21)</f>
        <v>0</v>
      </c>
      <c r="F15" s="88">
        <f>SUM(F16:F21)</f>
        <v>0</v>
      </c>
      <c r="G15" s="66"/>
      <c r="H15" s="88">
        <f>SUM(H16:H21)</f>
        <v>0</v>
      </c>
      <c r="I15" s="68">
        <f>SUM(I16:I21)</f>
        <v>0</v>
      </c>
      <c r="J15" s="35"/>
      <c r="K15" s="88">
        <f>SUM(K16:K21)</f>
        <v>0</v>
      </c>
      <c r="L15" s="88">
        <f>SUM(L16:L21)</f>
        <v>0</v>
      </c>
      <c r="M15" s="66"/>
      <c r="N15" s="88">
        <f>SUM(N16:N21)</f>
        <v>0</v>
      </c>
      <c r="O15" s="68">
        <f>SUM(O16:O21)</f>
        <v>0</v>
      </c>
      <c r="P15" s="248"/>
      <c r="Q15" s="88">
        <f>SUM(Q16:Q21)</f>
        <v>0</v>
      </c>
      <c r="R15" s="88">
        <f>SUM(R16:R21)</f>
        <v>0</v>
      </c>
    </row>
    <row r="16" spans="1:18">
      <c r="A16" s="21"/>
      <c r="B16" s="183"/>
      <c r="C16" s="30" t="s">
        <v>190</v>
      </c>
      <c r="D16" s="27" t="e">
        <f>F16*1000/E16</f>
        <v>#DIV/0!</v>
      </c>
      <c r="E16" s="43">
        <f>'Факт ТП за 3 года'!J90</f>
        <v>0</v>
      </c>
      <c r="F16" s="54"/>
      <c r="G16" s="66">
        <v>160140.28</v>
      </c>
      <c r="H16" s="31">
        <f>E16</f>
        <v>0</v>
      </c>
      <c r="I16" s="55">
        <f>G16*H16*$U$24*$W$24/1000</f>
        <v>0</v>
      </c>
      <c r="J16" s="27" t="e">
        <f>L16*1000/K16</f>
        <v>#DIV/0!</v>
      </c>
      <c r="K16" s="43">
        <f>'Факт ТП за 3 года'!L90</f>
        <v>0</v>
      </c>
      <c r="L16" s="54"/>
      <c r="M16" s="66">
        <v>160140.28</v>
      </c>
      <c r="N16" s="31">
        <f>K16</f>
        <v>0</v>
      </c>
      <c r="O16" s="55">
        <f>M16*N16*$U$24*$W$24/1000</f>
        <v>0</v>
      </c>
      <c r="P16" s="245">
        <v>786592</v>
      </c>
      <c r="Q16" s="43">
        <f>'Факт ТП за 3 года'!D90</f>
        <v>0</v>
      </c>
      <c r="R16" s="31">
        <f>P16*Q16/1000</f>
        <v>0</v>
      </c>
    </row>
    <row r="17" spans="1:25">
      <c r="A17" s="21"/>
      <c r="B17" s="183"/>
      <c r="C17" s="30" t="s">
        <v>191</v>
      </c>
      <c r="D17" s="27" t="e">
        <f t="shared" ref="D17:D21" si="0">F17*1000/E17</f>
        <v>#DIV/0!</v>
      </c>
      <c r="E17" s="43">
        <f>'Факт ТП за 3 года'!J91</f>
        <v>0</v>
      </c>
      <c r="F17" s="54"/>
      <c r="G17" s="66">
        <v>230448.16</v>
      </c>
      <c r="H17" s="31">
        <f t="shared" ref="H17:H21" si="1">E17</f>
        <v>0</v>
      </c>
      <c r="I17" s="55">
        <f t="shared" ref="I17:I21" si="2">G17*H17*$U$24*$W$24/1000</f>
        <v>0</v>
      </c>
      <c r="J17" s="27" t="e">
        <f t="shared" ref="J17:J21" si="3">L17*1000/K17</f>
        <v>#DIV/0!</v>
      </c>
      <c r="K17" s="43">
        <f>'Факт ТП за 3 года'!L91</f>
        <v>0</v>
      </c>
      <c r="L17" s="54"/>
      <c r="M17" s="66">
        <v>230448.16</v>
      </c>
      <c r="N17" s="31">
        <f t="shared" ref="N17:N21" si="4">K17</f>
        <v>0</v>
      </c>
      <c r="O17" s="55">
        <f t="shared" ref="O17:O21" si="5">M17*N17*$U$24*$W$24/1000</f>
        <v>0</v>
      </c>
      <c r="P17" s="245">
        <f>P16</f>
        <v>786592</v>
      </c>
      <c r="Q17" s="43">
        <f>'Факт ТП за 3 года'!D91</f>
        <v>0</v>
      </c>
      <c r="R17" s="31">
        <f t="shared" ref="R17:R21" si="6">P17*Q17/1000</f>
        <v>0</v>
      </c>
    </row>
    <row r="18" spans="1:25">
      <c r="A18" s="21"/>
      <c r="B18" s="183"/>
      <c r="C18" s="30" t="s">
        <v>192</v>
      </c>
      <c r="D18" s="27" t="e">
        <f t="shared" si="0"/>
        <v>#DIV/0!</v>
      </c>
      <c r="E18" s="43">
        <f>'Факт ТП за 3 года'!J92</f>
        <v>0</v>
      </c>
      <c r="F18" s="54"/>
      <c r="G18" s="66">
        <v>230331.91</v>
      </c>
      <c r="H18" s="31">
        <f t="shared" si="1"/>
        <v>0</v>
      </c>
      <c r="I18" s="55">
        <f t="shared" si="2"/>
        <v>0</v>
      </c>
      <c r="J18" s="27" t="e">
        <f t="shared" si="3"/>
        <v>#DIV/0!</v>
      </c>
      <c r="K18" s="43">
        <f>'Факт ТП за 3 года'!L92</f>
        <v>0</v>
      </c>
      <c r="L18" s="54"/>
      <c r="M18" s="66">
        <v>230331.91</v>
      </c>
      <c r="N18" s="31">
        <f t="shared" si="4"/>
        <v>0</v>
      </c>
      <c r="O18" s="55">
        <f t="shared" si="5"/>
        <v>0</v>
      </c>
      <c r="P18" s="245">
        <v>1204218</v>
      </c>
      <c r="Q18" s="43">
        <f>'Факт ТП за 3 года'!D92</f>
        <v>0</v>
      </c>
      <c r="R18" s="31">
        <f t="shared" si="6"/>
        <v>0</v>
      </c>
    </row>
    <row r="19" spans="1:25">
      <c r="A19" s="21"/>
      <c r="B19" s="183"/>
      <c r="C19" s="30" t="s">
        <v>193</v>
      </c>
      <c r="D19" s="27" t="e">
        <f t="shared" si="0"/>
        <v>#DIV/0!</v>
      </c>
      <c r="E19" s="43">
        <f>'Факт ТП за 3 года'!J93</f>
        <v>0</v>
      </c>
      <c r="F19" s="54"/>
      <c r="G19" s="66">
        <v>281329.75</v>
      </c>
      <c r="H19" s="31">
        <f t="shared" si="1"/>
        <v>0</v>
      </c>
      <c r="I19" s="55">
        <f t="shared" si="2"/>
        <v>0</v>
      </c>
      <c r="J19" s="27" t="e">
        <f t="shared" si="3"/>
        <v>#DIV/0!</v>
      </c>
      <c r="K19" s="43">
        <f>'Факт ТП за 3 года'!L93</f>
        <v>0</v>
      </c>
      <c r="L19" s="54"/>
      <c r="M19" s="66">
        <v>281329.75</v>
      </c>
      <c r="N19" s="31">
        <f t="shared" si="4"/>
        <v>0</v>
      </c>
      <c r="O19" s="55">
        <f t="shared" si="5"/>
        <v>0</v>
      </c>
      <c r="P19" s="245">
        <f>P18</f>
        <v>1204218</v>
      </c>
      <c r="Q19" s="43">
        <f>'Факт ТП за 3 года'!D93</f>
        <v>0</v>
      </c>
      <c r="R19" s="31">
        <f t="shared" si="6"/>
        <v>0</v>
      </c>
    </row>
    <row r="20" spans="1:25">
      <c r="A20" s="21"/>
      <c r="B20" s="183"/>
      <c r="C20" s="30" t="s">
        <v>194</v>
      </c>
      <c r="D20" s="27" t="e">
        <f t="shared" si="0"/>
        <v>#DIV/0!</v>
      </c>
      <c r="E20" s="43">
        <f>'Факт ТП за 3 года'!J94</f>
        <v>0</v>
      </c>
      <c r="F20" s="54"/>
      <c r="G20" s="66">
        <v>307436.89</v>
      </c>
      <c r="H20" s="31">
        <f t="shared" si="1"/>
        <v>0</v>
      </c>
      <c r="I20" s="55">
        <f t="shared" si="2"/>
        <v>0</v>
      </c>
      <c r="J20" s="27" t="e">
        <f t="shared" si="3"/>
        <v>#DIV/0!</v>
      </c>
      <c r="K20" s="43">
        <f>'Факт ТП за 3 года'!L94</f>
        <v>0</v>
      </c>
      <c r="L20" s="54"/>
      <c r="M20" s="66">
        <v>307436.89</v>
      </c>
      <c r="N20" s="31">
        <f t="shared" si="4"/>
        <v>0</v>
      </c>
      <c r="O20" s="55">
        <f t="shared" si="5"/>
        <v>0</v>
      </c>
      <c r="P20" s="245">
        <v>1500802</v>
      </c>
      <c r="Q20" s="43">
        <f>'Факт ТП за 3 года'!D94</f>
        <v>0</v>
      </c>
      <c r="R20" s="31">
        <f t="shared" si="6"/>
        <v>0</v>
      </c>
    </row>
    <row r="21" spans="1:25">
      <c r="A21" s="21"/>
      <c r="B21" s="183"/>
      <c r="C21" s="30" t="s">
        <v>195</v>
      </c>
      <c r="D21" s="27" t="e">
        <f t="shared" si="0"/>
        <v>#DIV/0!</v>
      </c>
      <c r="E21" s="43">
        <f>'Факт ТП за 3 года'!J95</f>
        <v>0</v>
      </c>
      <c r="F21" s="54"/>
      <c r="G21" s="66">
        <v>326756.55</v>
      </c>
      <c r="H21" s="31">
        <f t="shared" si="1"/>
        <v>0</v>
      </c>
      <c r="I21" s="55">
        <f t="shared" si="2"/>
        <v>0</v>
      </c>
      <c r="J21" s="27" t="e">
        <f t="shared" si="3"/>
        <v>#DIV/0!</v>
      </c>
      <c r="K21" s="43">
        <f>'Факт ТП за 3 года'!L95</f>
        <v>0</v>
      </c>
      <c r="L21" s="54"/>
      <c r="M21" s="66">
        <v>326756.55</v>
      </c>
      <c r="N21" s="31">
        <f t="shared" si="4"/>
        <v>0</v>
      </c>
      <c r="O21" s="55">
        <f t="shared" si="5"/>
        <v>0</v>
      </c>
      <c r="P21" s="245">
        <v>1595120</v>
      </c>
      <c r="Q21" s="43">
        <f>'Факт ТП за 3 года'!D95</f>
        <v>0</v>
      </c>
      <c r="R21" s="31">
        <f t="shared" si="6"/>
        <v>0</v>
      </c>
    </row>
    <row r="22" spans="1:25" ht="52.5" customHeight="1">
      <c r="A22" s="21"/>
      <c r="B22" s="183" t="s">
        <v>23</v>
      </c>
      <c r="C22" s="30" t="s">
        <v>30</v>
      </c>
      <c r="D22" s="49"/>
      <c r="E22" s="88">
        <f>SUM(E23:E30)</f>
        <v>0</v>
      </c>
      <c r="F22" s="88">
        <f>SUM(F23:F30)</f>
        <v>0</v>
      </c>
      <c r="G22" s="66"/>
      <c r="H22" s="88">
        <f>SUM(H23:H30)</f>
        <v>0</v>
      </c>
      <c r="I22" s="68">
        <f>SUM(I23:I30)</f>
        <v>0</v>
      </c>
      <c r="J22" s="49"/>
      <c r="K22" s="88">
        <f>SUM(K23:K30)</f>
        <v>0</v>
      </c>
      <c r="L22" s="88">
        <f>SUM(L23:L30)</f>
        <v>0</v>
      </c>
      <c r="M22" s="66"/>
      <c r="N22" s="88">
        <f>SUM(N23:N30)</f>
        <v>0</v>
      </c>
      <c r="O22" s="68">
        <f>SUM(O23:O30)</f>
        <v>0</v>
      </c>
      <c r="P22" s="248"/>
      <c r="Q22" s="46">
        <f>SUM(Q23:Q30)</f>
        <v>0</v>
      </c>
      <c r="R22" s="46">
        <f>SUM(R23:R30)</f>
        <v>0</v>
      </c>
    </row>
    <row r="23" spans="1:25">
      <c r="A23" s="21"/>
      <c r="B23" s="183"/>
      <c r="C23" s="30" t="s">
        <v>196</v>
      </c>
      <c r="D23" s="27" t="e">
        <f t="shared" ref="D23:D50" si="7">F23*1000/E23</f>
        <v>#DIV/0!</v>
      </c>
      <c r="E23" s="43">
        <f>'Факт ТП за 3 года'!J97</f>
        <v>0</v>
      </c>
      <c r="F23" s="54"/>
      <c r="G23" s="66">
        <v>349612.6</v>
      </c>
      <c r="H23" s="31">
        <f>E23</f>
        <v>0</v>
      </c>
      <c r="I23" s="55">
        <f>G23*H23*$U$25*$W$25/1000</f>
        <v>0</v>
      </c>
      <c r="J23" s="27" t="e">
        <f t="shared" ref="J23" si="8">L23*1000/K23</f>
        <v>#DIV/0!</v>
      </c>
      <c r="K23" s="43">
        <f>'Факт ТП за 3 года'!L97</f>
        <v>0</v>
      </c>
      <c r="L23" s="54"/>
      <c r="M23" s="66">
        <v>349612.6</v>
      </c>
      <c r="N23" s="31">
        <f>K23</f>
        <v>0</v>
      </c>
      <c r="O23" s="55">
        <f>M23*N23*$U$25*$W$25/1000</f>
        <v>0</v>
      </c>
      <c r="P23" s="245">
        <v>1278516</v>
      </c>
      <c r="Q23" s="31">
        <f>'Факт ТП за 3 года'!D97</f>
        <v>0</v>
      </c>
      <c r="R23" s="31">
        <f>P23*Q23/1000</f>
        <v>0</v>
      </c>
      <c r="S23" s="36" t="str">
        <f>'1_до 15 кВт'!M38</f>
        <v>ср. по 2017</v>
      </c>
      <c r="T23" s="37" t="str">
        <f>'1_до 15 кВт'!N38</f>
        <v>Вид строительства</v>
      </c>
      <c r="U23" s="37" t="str">
        <f>'1_до 15 кВт'!O38</f>
        <v>Инд</v>
      </c>
      <c r="V23" s="37" t="str">
        <f>'1_до 15 кВт'!P38</f>
        <v>Инд(КС)</v>
      </c>
      <c r="W23" s="37" t="str">
        <f>'1_до 15 кВт'!Q38</f>
        <v>Кнр</v>
      </c>
      <c r="X23" s="37" t="str">
        <f>'1_до 15 кВт'!R38</f>
        <v>Кнр(КС)</v>
      </c>
    </row>
    <row r="24" spans="1:25">
      <c r="A24" s="21"/>
      <c r="B24" s="183"/>
      <c r="C24" s="30" t="s">
        <v>197</v>
      </c>
      <c r="D24" s="27" t="e">
        <f>F24*1000/E24</f>
        <v>#DIV/0!</v>
      </c>
      <c r="E24" s="43">
        <f>'Факт ТП за 3 года'!J98</f>
        <v>0</v>
      </c>
      <c r="F24" s="54"/>
      <c r="G24" s="66">
        <v>339575.48</v>
      </c>
      <c r="H24" s="31">
        <f t="shared" ref="H24:H30" si="9">E24</f>
        <v>0</v>
      </c>
      <c r="I24" s="55">
        <f t="shared" ref="I24:I30" si="10">G24*H24*$U$25*$W$25/1000</f>
        <v>0</v>
      </c>
      <c r="J24" s="27" t="e">
        <f>L24*1000/K24</f>
        <v>#DIV/0!</v>
      </c>
      <c r="K24" s="43">
        <f>'Факт ТП за 3 года'!L98</f>
        <v>0</v>
      </c>
      <c r="L24" s="54"/>
      <c r="M24" s="66">
        <v>339575.48</v>
      </c>
      <c r="N24" s="31">
        <f>K24</f>
        <v>0</v>
      </c>
      <c r="O24" s="55">
        <f t="shared" ref="O24:O30" si="11">M24*N24*$U$25*$W$25/1000</f>
        <v>0</v>
      </c>
      <c r="P24" s="245">
        <v>1873376</v>
      </c>
      <c r="Q24" s="31">
        <f>'Факт ТП за 3 года'!D98</f>
        <v>0</v>
      </c>
      <c r="R24" s="31">
        <f t="shared" ref="R24:R33" si="12">P24*Q24/1000</f>
        <v>0</v>
      </c>
      <c r="T24" s="37" t="str">
        <f>'1_до 15 кВт'!N39</f>
        <v>ВЛ</v>
      </c>
      <c r="U24" s="37">
        <f>'1_до 15 кВт'!O39</f>
        <v>5.0075000000000003</v>
      </c>
      <c r="V24" s="37">
        <f>'1_до 15 кВт'!P39</f>
        <v>5.5400000000000009</v>
      </c>
      <c r="W24" s="37">
        <f>'1_до 15 кВт'!Q39</f>
        <v>1.01</v>
      </c>
      <c r="X24" s="37">
        <f>'1_до 15 кВт'!R39</f>
        <v>1.02</v>
      </c>
    </row>
    <row r="25" spans="1:25">
      <c r="A25" s="21"/>
      <c r="B25" s="183"/>
      <c r="C25" s="30" t="s">
        <v>198</v>
      </c>
      <c r="D25" s="27" t="e">
        <f t="shared" ref="D25:D33" si="13">F25*1000/E25</f>
        <v>#DIV/0!</v>
      </c>
      <c r="E25" s="43">
        <f>'Факт ТП за 3 года'!J99</f>
        <v>0</v>
      </c>
      <c r="F25" s="54"/>
      <c r="G25" s="66">
        <v>402924.79999999999</v>
      </c>
      <c r="H25" s="31">
        <f t="shared" si="9"/>
        <v>0</v>
      </c>
      <c r="I25" s="55">
        <f t="shared" si="10"/>
        <v>0</v>
      </c>
      <c r="J25" s="27" t="e">
        <f t="shared" ref="J25:J30" si="14">L25*1000/K25</f>
        <v>#DIV/0!</v>
      </c>
      <c r="K25" s="43">
        <f>'Факт ТП за 3 года'!L99</f>
        <v>0</v>
      </c>
      <c r="L25" s="54"/>
      <c r="M25" s="66">
        <v>402924.79999999999</v>
      </c>
      <c r="N25" s="31">
        <f t="shared" ref="N25:N30" si="15">K25</f>
        <v>0</v>
      </c>
      <c r="O25" s="55">
        <f t="shared" si="11"/>
        <v>0</v>
      </c>
      <c r="P25" s="245">
        <v>2162583</v>
      </c>
      <c r="Q25" s="31">
        <f>'Факт ТП за 3 года'!D99</f>
        <v>0</v>
      </c>
      <c r="R25" s="31">
        <f t="shared" si="12"/>
        <v>0</v>
      </c>
      <c r="T25" s="37" t="str">
        <f>'1_до 15 кВт'!N40</f>
        <v>КЛ</v>
      </c>
      <c r="U25" s="37">
        <f>'1_до 15 кВт'!O40</f>
        <v>7.0524999999999993</v>
      </c>
      <c r="V25" s="37">
        <f>'1_до 15 кВт'!P40</f>
        <v>8.6875</v>
      </c>
      <c r="W25" s="37">
        <f>'1_до 15 кВт'!Q40</f>
        <v>1.01</v>
      </c>
      <c r="X25" s="37">
        <f>'1_до 15 кВт'!R40</f>
        <v>1.02</v>
      </c>
    </row>
    <row r="26" spans="1:25">
      <c r="A26" s="21"/>
      <c r="B26" s="183"/>
      <c r="C26" s="30" t="s">
        <v>199</v>
      </c>
      <c r="D26" s="27" t="e">
        <f t="shared" si="13"/>
        <v>#DIV/0!</v>
      </c>
      <c r="E26" s="43">
        <f>'Факт ТП за 3 года'!J100</f>
        <v>0</v>
      </c>
      <c r="F26" s="54"/>
      <c r="G26" s="66">
        <v>511959.36</v>
      </c>
      <c r="H26" s="31">
        <f>E26</f>
        <v>0</v>
      </c>
      <c r="I26" s="55">
        <f t="shared" si="10"/>
        <v>0</v>
      </c>
      <c r="J26" s="27" t="e">
        <f t="shared" si="14"/>
        <v>#DIV/0!</v>
      </c>
      <c r="K26" s="43">
        <f>'Факт ТП за 3 года'!L100</f>
        <v>0</v>
      </c>
      <c r="L26" s="54"/>
      <c r="M26" s="66">
        <v>511959.36</v>
      </c>
      <c r="N26" s="31">
        <f>K26</f>
        <v>0</v>
      </c>
      <c r="O26" s="55">
        <f t="shared" si="11"/>
        <v>0</v>
      </c>
      <c r="P26" s="245">
        <v>2675215</v>
      </c>
      <c r="Q26" s="31">
        <f>'Факт ТП за 3 года'!D100</f>
        <v>0</v>
      </c>
      <c r="R26" s="31">
        <f t="shared" si="12"/>
        <v>0</v>
      </c>
      <c r="T26" s="37" t="str">
        <f>'1_до 15 кВт'!N41</f>
        <v>Прочие</v>
      </c>
      <c r="U26" s="37">
        <f>'1_до 15 кВт'!O41</f>
        <v>9.0625</v>
      </c>
      <c r="V26" s="37">
        <f>'1_до 15 кВт'!P41</f>
        <v>10.64</v>
      </c>
      <c r="W26" s="37">
        <f>'1_до 15 кВт'!Q41</f>
        <v>1.01</v>
      </c>
      <c r="X26" s="37">
        <f>'1_до 15 кВт'!R41</f>
        <v>1.02</v>
      </c>
    </row>
    <row r="27" spans="1:25">
      <c r="A27" s="21"/>
      <c r="B27" s="183"/>
      <c r="C27" s="30" t="s">
        <v>200</v>
      </c>
      <c r="D27" s="27" t="e">
        <f t="shared" si="13"/>
        <v>#DIV/0!</v>
      </c>
      <c r="E27" s="43">
        <f>'Факт ТП за 3 года'!J101</f>
        <v>0</v>
      </c>
      <c r="F27" s="54"/>
      <c r="G27" s="66">
        <f>228504.97*2</f>
        <v>457009.94</v>
      </c>
      <c r="H27" s="31">
        <f t="shared" si="9"/>
        <v>0</v>
      </c>
      <c r="I27" s="55">
        <f t="shared" si="10"/>
        <v>0</v>
      </c>
      <c r="J27" s="27" t="e">
        <f t="shared" si="14"/>
        <v>#DIV/0!</v>
      </c>
      <c r="K27" s="43">
        <f>'Факт ТП за 3 года'!L101</f>
        <v>0</v>
      </c>
      <c r="L27" s="54"/>
      <c r="M27" s="66">
        <f>228504.97*2</f>
        <v>457009.94</v>
      </c>
      <c r="N27" s="31">
        <f t="shared" si="15"/>
        <v>0</v>
      </c>
      <c r="O27" s="55">
        <f t="shared" si="11"/>
        <v>0</v>
      </c>
      <c r="P27" s="245">
        <v>2025005</v>
      </c>
      <c r="Q27" s="31">
        <f>'Факт ТП за 3 года'!D101</f>
        <v>0</v>
      </c>
      <c r="R27" s="31">
        <f t="shared" si="12"/>
        <v>0</v>
      </c>
      <c r="S27" s="36"/>
      <c r="T27" s="40"/>
      <c r="U27" s="40"/>
      <c r="V27" s="40"/>
      <c r="W27" s="40"/>
      <c r="X27" s="40"/>
    </row>
    <row r="28" spans="1:25">
      <c r="A28" s="21"/>
      <c r="B28" s="183"/>
      <c r="C28" s="30" t="s">
        <v>201</v>
      </c>
      <c r="D28" s="27" t="e">
        <f t="shared" si="13"/>
        <v>#DIV/0!</v>
      </c>
      <c r="E28" s="43">
        <f>'Факт ТП за 3 года'!J102</f>
        <v>0</v>
      </c>
      <c r="F28" s="54"/>
      <c r="G28" s="66">
        <f>246069.19*2</f>
        <v>492138.38</v>
      </c>
      <c r="H28" s="31">
        <f>E28</f>
        <v>0</v>
      </c>
      <c r="I28" s="55">
        <f t="shared" si="10"/>
        <v>0</v>
      </c>
      <c r="J28" s="27" t="e">
        <f t="shared" si="14"/>
        <v>#DIV/0!</v>
      </c>
      <c r="K28" s="43">
        <f>'Факт ТП за 3 года'!L102</f>
        <v>0</v>
      </c>
      <c r="L28" s="54"/>
      <c r="M28" s="66">
        <f>246069.19*2</f>
        <v>492138.38</v>
      </c>
      <c r="N28" s="31">
        <f>K28</f>
        <v>0</v>
      </c>
      <c r="O28" s="55">
        <f t="shared" si="11"/>
        <v>0</v>
      </c>
      <c r="P28" s="245">
        <v>2870504</v>
      </c>
      <c r="Q28" s="31">
        <f>'Факт ТП за 3 года'!D102</f>
        <v>0</v>
      </c>
      <c r="R28" s="31">
        <f t="shared" si="12"/>
        <v>0</v>
      </c>
      <c r="S28" s="36"/>
    </row>
    <row r="29" spans="1:25">
      <c r="A29" s="21"/>
      <c r="B29" s="183"/>
      <c r="C29" s="30" t="s">
        <v>202</v>
      </c>
      <c r="D29" s="27" t="e">
        <f t="shared" si="13"/>
        <v>#DIV/0!</v>
      </c>
      <c r="E29" s="43">
        <f>'Факт ТП за 3 года'!J103</f>
        <v>0</v>
      </c>
      <c r="F29" s="54"/>
      <c r="G29" s="66">
        <f>307576.18*2</f>
        <v>615152.36</v>
      </c>
      <c r="H29" s="31">
        <f t="shared" si="9"/>
        <v>0</v>
      </c>
      <c r="I29" s="55">
        <f t="shared" si="10"/>
        <v>0</v>
      </c>
      <c r="J29" s="27" t="e">
        <f t="shared" si="14"/>
        <v>#DIV/0!</v>
      </c>
      <c r="K29" s="43">
        <f>'Факт ТП за 3 года'!L103</f>
        <v>0</v>
      </c>
      <c r="L29" s="54"/>
      <c r="M29" s="66">
        <f>307576.18*2</f>
        <v>615152.36</v>
      </c>
      <c r="N29" s="31">
        <f t="shared" si="15"/>
        <v>0</v>
      </c>
      <c r="O29" s="55">
        <f t="shared" si="11"/>
        <v>0</v>
      </c>
      <c r="P29" s="245">
        <v>3425254</v>
      </c>
      <c r="Q29" s="31">
        <f>'Факт ТП за 3 года'!D103</f>
        <v>0</v>
      </c>
      <c r="R29" s="31">
        <f t="shared" si="12"/>
        <v>0</v>
      </c>
      <c r="S29" s="36"/>
    </row>
    <row r="30" spans="1:25" ht="14.25" customHeight="1">
      <c r="A30" s="21"/>
      <c r="B30" s="183"/>
      <c r="C30" s="30" t="s">
        <v>203</v>
      </c>
      <c r="D30" s="27" t="e">
        <f t="shared" si="13"/>
        <v>#DIV/0!</v>
      </c>
      <c r="E30" s="43">
        <f>'Факт ТП за 3 года'!J104</f>
        <v>0</v>
      </c>
      <c r="F30" s="54"/>
      <c r="G30" s="66">
        <f>390808.67*2</f>
        <v>781617.34</v>
      </c>
      <c r="H30" s="31">
        <f t="shared" si="9"/>
        <v>0</v>
      </c>
      <c r="I30" s="55">
        <f t="shared" si="10"/>
        <v>0</v>
      </c>
      <c r="J30" s="27" t="e">
        <f t="shared" si="14"/>
        <v>#DIV/0!</v>
      </c>
      <c r="K30" s="43">
        <f>'Факт ТП за 3 года'!L104</f>
        <v>0</v>
      </c>
      <c r="L30" s="54"/>
      <c r="M30" s="66">
        <f>390808.67*2</f>
        <v>781617.34</v>
      </c>
      <c r="N30" s="31">
        <f t="shared" si="15"/>
        <v>0</v>
      </c>
      <c r="O30" s="55">
        <f t="shared" si="11"/>
        <v>0</v>
      </c>
      <c r="P30" s="245">
        <v>4237197</v>
      </c>
      <c r="Q30" s="31">
        <f>'Факт ТП за 3 года'!D104</f>
        <v>0</v>
      </c>
      <c r="R30" s="31">
        <f t="shared" si="12"/>
        <v>0</v>
      </c>
      <c r="S30" s="36"/>
    </row>
    <row r="31" spans="1:25" ht="18.75" customHeight="1">
      <c r="A31" s="21"/>
      <c r="B31" s="183" t="s">
        <v>24</v>
      </c>
      <c r="C31" s="30" t="s">
        <v>44</v>
      </c>
      <c r="D31" s="49"/>
      <c r="E31" s="88">
        <f>SUM(E32:E33)</f>
        <v>0</v>
      </c>
      <c r="F31" s="88">
        <f>SUM(F32:F33)</f>
        <v>0</v>
      </c>
      <c r="H31" s="88">
        <f>SUM(H32:H33)</f>
        <v>0</v>
      </c>
      <c r="I31" s="88">
        <f>SUM(I32:I33)</f>
        <v>0</v>
      </c>
      <c r="J31" s="49"/>
      <c r="K31" s="88">
        <f>SUM(K32:K33)</f>
        <v>0</v>
      </c>
      <c r="L31" s="88">
        <f>SUM(L32:L33)</f>
        <v>0</v>
      </c>
      <c r="N31" s="88">
        <f>SUM(N32:N33)</f>
        <v>0</v>
      </c>
      <c r="O31" s="88">
        <f>SUM(O32:O33)</f>
        <v>0</v>
      </c>
      <c r="P31" s="246"/>
      <c r="Q31" s="88">
        <f>SUM(Q32:Q33)</f>
        <v>0</v>
      </c>
      <c r="R31" s="88">
        <f>SUM(R32:R33)</f>
        <v>0</v>
      </c>
      <c r="T31" s="216"/>
      <c r="U31" s="216"/>
      <c r="V31" s="216"/>
      <c r="W31" s="216"/>
      <c r="X31" s="216"/>
      <c r="Y31" s="216"/>
    </row>
    <row r="32" spans="1:25">
      <c r="A32" s="21"/>
      <c r="B32" s="183"/>
      <c r="C32" s="30" t="s">
        <v>227</v>
      </c>
      <c r="D32" s="27" t="e">
        <f t="shared" si="13"/>
        <v>#DIV/0!</v>
      </c>
      <c r="E32" s="28"/>
      <c r="F32" s="54"/>
      <c r="G32" s="66">
        <v>75.989999999999995</v>
      </c>
      <c r="H32" s="31">
        <f>E32</f>
        <v>0</v>
      </c>
      <c r="I32" s="55">
        <f>G32*H32*$V$26*$X$26/1000</f>
        <v>0</v>
      </c>
      <c r="J32" s="27" t="e">
        <f t="shared" ref="J32:J33" si="16">L32*1000/K32</f>
        <v>#DIV/0!</v>
      </c>
      <c r="K32" s="28"/>
      <c r="L32" s="54"/>
      <c r="M32" s="66">
        <v>75.989999999999995</v>
      </c>
      <c r="N32" s="31">
        <f>K32</f>
        <v>0</v>
      </c>
      <c r="O32" s="55">
        <f>M32*N32*$V$26*$X$26/1000</f>
        <v>0</v>
      </c>
      <c r="P32" s="245">
        <v>137786</v>
      </c>
      <c r="Q32" s="43">
        <f>'Факт ТП за 3 года'!D106</f>
        <v>0</v>
      </c>
      <c r="R32" s="31">
        <f>P32*Q32/1000</f>
        <v>0</v>
      </c>
      <c r="S32" s="36"/>
      <c r="T32" s="214"/>
      <c r="U32" s="214"/>
      <c r="V32" s="215"/>
      <c r="W32" s="214"/>
      <c r="X32" s="214"/>
      <c r="Y32" s="216"/>
    </row>
    <row r="33" spans="1:25">
      <c r="A33" s="21"/>
      <c r="B33" s="183"/>
      <c r="C33" s="30" t="s">
        <v>205</v>
      </c>
      <c r="D33" s="27" t="e">
        <f t="shared" si="13"/>
        <v>#DIV/0!</v>
      </c>
      <c r="E33" s="28"/>
      <c r="F33" s="54"/>
      <c r="G33" s="66">
        <v>306.64999999999998</v>
      </c>
      <c r="H33" s="31">
        <f>E33</f>
        <v>0</v>
      </c>
      <c r="I33" s="55">
        <f>G33*H33*$V$26*$X$26/1000</f>
        <v>0</v>
      </c>
      <c r="J33" s="27" t="e">
        <f t="shared" si="16"/>
        <v>#DIV/0!</v>
      </c>
      <c r="K33" s="28"/>
      <c r="L33" s="54"/>
      <c r="M33" s="66">
        <v>306.64999999999998</v>
      </c>
      <c r="N33" s="31">
        <f>K33</f>
        <v>0</v>
      </c>
      <c r="O33" s="55">
        <f>M33*N33*$V$26*$X$26/1000</f>
        <v>0</v>
      </c>
      <c r="P33" s="245">
        <v>1950320</v>
      </c>
      <c r="Q33" s="43">
        <f>'Факт ТП за 3 года'!D107</f>
        <v>0</v>
      </c>
      <c r="R33" s="31">
        <f t="shared" si="12"/>
        <v>0</v>
      </c>
      <c r="T33" s="214"/>
      <c r="U33" s="217"/>
      <c r="V33" s="217"/>
      <c r="W33" s="217"/>
      <c r="X33" s="217"/>
      <c r="Y33" s="216"/>
    </row>
    <row r="34" spans="1:25" ht="48">
      <c r="A34" s="21"/>
      <c r="B34" s="183" t="s">
        <v>25</v>
      </c>
      <c r="C34" s="30" t="s">
        <v>33</v>
      </c>
      <c r="D34" s="35"/>
      <c r="E34" s="88">
        <f>H34</f>
        <v>0</v>
      </c>
      <c r="F34" s="89">
        <f>SUM(F35:F41)</f>
        <v>0</v>
      </c>
      <c r="G34" s="66"/>
      <c r="H34" s="46">
        <f>SUM(H35:H49)</f>
        <v>0</v>
      </c>
      <c r="I34" s="68">
        <f>SUM(I35:I49)</f>
        <v>0</v>
      </c>
      <c r="J34" s="35"/>
      <c r="K34" s="88">
        <f>N34</f>
        <v>0</v>
      </c>
      <c r="L34" s="89">
        <f>SUM(L35:L41)</f>
        <v>0</v>
      </c>
      <c r="M34" s="66"/>
      <c r="N34" s="46">
        <f>SUM(N35:N41)</f>
        <v>0</v>
      </c>
      <c r="O34" s="68">
        <f>SUM(O35:O49)</f>
        <v>0</v>
      </c>
      <c r="P34" s="249"/>
      <c r="Q34" s="46">
        <f>SUM(Q35:Q41)</f>
        <v>0</v>
      </c>
      <c r="R34" s="68">
        <f>SUM(R35:R49)</f>
        <v>0</v>
      </c>
      <c r="T34" s="214"/>
      <c r="U34" s="217"/>
      <c r="V34" s="217"/>
      <c r="W34" s="217"/>
      <c r="X34" s="217"/>
      <c r="Y34" s="216"/>
    </row>
    <row r="35" spans="1:25">
      <c r="A35" s="21"/>
      <c r="B35" s="183"/>
      <c r="C35" s="30" t="s">
        <v>55</v>
      </c>
      <c r="D35" s="27" t="e">
        <f>F35*1000/E35</f>
        <v>#DIV/0!</v>
      </c>
      <c r="E35" s="43">
        <f>'Факт ПС за 3 года'!J43*'Факт ПС за 3 года'!K43</f>
        <v>0</v>
      </c>
      <c r="F35" s="54"/>
      <c r="G35" s="66">
        <v>1213.32</v>
      </c>
      <c r="H35" s="31">
        <f>E35</f>
        <v>0</v>
      </c>
      <c r="I35" s="55">
        <f>G35*H35*$V$26*$X$26/1000</f>
        <v>0</v>
      </c>
      <c r="J35" s="27" t="e">
        <f>L35*1000/K35</f>
        <v>#DIV/0!</v>
      </c>
      <c r="K35" s="43">
        <f>'Факт ПС за 3 года'!M43*'Факт ПС за 3 года'!N43</f>
        <v>0</v>
      </c>
      <c r="L35" s="54"/>
      <c r="M35" s="66">
        <v>1213.32</v>
      </c>
      <c r="N35" s="31">
        <f>K35</f>
        <v>0</v>
      </c>
      <c r="O35" s="55">
        <f>M35*N35*$V$26*$X$26/1000</f>
        <v>0</v>
      </c>
      <c r="P35" s="245">
        <v>4896</v>
      </c>
      <c r="Q35" s="43">
        <f>'Факт ПС за 3 года'!R43</f>
        <v>0</v>
      </c>
      <c r="R35" s="31">
        <f>P35*Q35/1000</f>
        <v>0</v>
      </c>
      <c r="T35" s="214"/>
      <c r="U35" s="217"/>
      <c r="V35" s="217"/>
      <c r="W35" s="217"/>
      <c r="X35" s="217"/>
      <c r="Y35" s="216"/>
    </row>
    <row r="36" spans="1:25">
      <c r="A36" s="21"/>
      <c r="B36" s="183"/>
      <c r="C36" s="30" t="s">
        <v>206</v>
      </c>
      <c r="D36" s="27" t="e">
        <f t="shared" ref="D36:D49" si="17">F36*1000/E36</f>
        <v>#DIV/0!</v>
      </c>
      <c r="E36" s="43">
        <f>'Факт ПС за 3 года'!J44*'Факт ПС за 3 года'!K44</f>
        <v>0</v>
      </c>
      <c r="F36" s="54"/>
      <c r="G36" s="66">
        <v>776.94</v>
      </c>
      <c r="H36" s="31">
        <f t="shared" ref="H36:H49" si="18">E36</f>
        <v>0</v>
      </c>
      <c r="I36" s="55">
        <f t="shared" ref="I36:I50" si="19">G36*H36*$V$26*$X$26/1000</f>
        <v>0</v>
      </c>
      <c r="J36" s="27" t="e">
        <f t="shared" ref="J36:J49" si="20">L36*1000/K36</f>
        <v>#DIV/0!</v>
      </c>
      <c r="K36" s="43">
        <f>'Факт ПС за 3 года'!M44*'Факт ПС за 3 года'!N44</f>
        <v>0</v>
      </c>
      <c r="L36" s="54"/>
      <c r="M36" s="66">
        <v>776.94</v>
      </c>
      <c r="N36" s="31">
        <f t="shared" ref="N36:N49" si="21">K36</f>
        <v>0</v>
      </c>
      <c r="O36" s="55">
        <f t="shared" ref="O36:O50" si="22">M36*N36*$V$26*$X$26/1000</f>
        <v>0</v>
      </c>
      <c r="P36" s="245">
        <v>3060</v>
      </c>
      <c r="Q36" s="43">
        <f>'Факт ПС за 3 года'!R44</f>
        <v>0</v>
      </c>
      <c r="R36" s="31">
        <f t="shared" ref="R36:R49" si="23">P36*Q36/1000</f>
        <v>0</v>
      </c>
      <c r="T36" s="216"/>
      <c r="U36" s="216"/>
      <c r="V36" s="216"/>
      <c r="W36" s="216"/>
      <c r="X36" s="216"/>
      <c r="Y36" s="216"/>
    </row>
    <row r="37" spans="1:25">
      <c r="A37" s="21"/>
      <c r="B37" s="183"/>
      <c r="C37" s="30" t="s">
        <v>54</v>
      </c>
      <c r="D37" s="27" t="e">
        <f t="shared" si="17"/>
        <v>#DIV/0!</v>
      </c>
      <c r="E37" s="43">
        <f>'Факт ПС за 3 года'!J45*'Факт ПС за 3 года'!K45</f>
        <v>0</v>
      </c>
      <c r="F37" s="54"/>
      <c r="G37" s="66">
        <v>672.8</v>
      </c>
      <c r="H37" s="31">
        <f t="shared" si="18"/>
        <v>0</v>
      </c>
      <c r="I37" s="55">
        <f t="shared" si="19"/>
        <v>0</v>
      </c>
      <c r="J37" s="27" t="e">
        <f t="shared" si="20"/>
        <v>#DIV/0!</v>
      </c>
      <c r="K37" s="43">
        <f>'Факт ПС за 3 года'!M45*'Факт ПС за 3 года'!N45</f>
        <v>0</v>
      </c>
      <c r="L37" s="54"/>
      <c r="M37" s="66">
        <v>672.8</v>
      </c>
      <c r="N37" s="31">
        <f t="shared" si="21"/>
        <v>0</v>
      </c>
      <c r="O37" s="55">
        <f t="shared" si="22"/>
        <v>0</v>
      </c>
      <c r="P37" s="245">
        <v>2650</v>
      </c>
      <c r="Q37" s="43">
        <f>'Факт ПС за 3 года'!R45</f>
        <v>0</v>
      </c>
      <c r="R37" s="31">
        <f t="shared" si="23"/>
        <v>0</v>
      </c>
      <c r="T37" s="216"/>
      <c r="U37" s="216"/>
      <c r="V37" s="216"/>
      <c r="W37" s="216"/>
      <c r="X37" s="216"/>
      <c r="Y37" s="216"/>
    </row>
    <row r="38" spans="1:25">
      <c r="A38" s="21"/>
      <c r="B38" s="183"/>
      <c r="C38" s="30" t="s">
        <v>45</v>
      </c>
      <c r="D38" s="27" t="e">
        <f t="shared" si="17"/>
        <v>#DIV/0!</v>
      </c>
      <c r="E38" s="43">
        <f>'Факт ПС за 3 года'!J46*'Факт ПС за 3 года'!K46</f>
        <v>0</v>
      </c>
      <c r="F38" s="54"/>
      <c r="G38" s="66">
        <v>583.61</v>
      </c>
      <c r="H38" s="31">
        <f t="shared" si="18"/>
        <v>0</v>
      </c>
      <c r="I38" s="55">
        <f t="shared" si="19"/>
        <v>0</v>
      </c>
      <c r="J38" s="27" t="e">
        <f t="shared" si="20"/>
        <v>#DIV/0!</v>
      </c>
      <c r="K38" s="43">
        <f>'Факт ПС за 3 года'!M46*'Факт ПС за 3 года'!N46</f>
        <v>0</v>
      </c>
      <c r="L38" s="54"/>
      <c r="M38" s="66">
        <v>583.61</v>
      </c>
      <c r="N38" s="31">
        <f t="shared" si="21"/>
        <v>0</v>
      </c>
      <c r="O38" s="55">
        <f t="shared" si="22"/>
        <v>0</v>
      </c>
      <c r="P38" s="245">
        <v>2170</v>
      </c>
      <c r="Q38" s="43">
        <f>'Факт ПС за 3 года'!R46</f>
        <v>0</v>
      </c>
      <c r="R38" s="31">
        <f t="shared" si="23"/>
        <v>0</v>
      </c>
      <c r="T38" s="216"/>
      <c r="U38" s="216"/>
      <c r="V38" s="216"/>
      <c r="W38" s="216"/>
      <c r="X38" s="216"/>
      <c r="Y38" s="216"/>
    </row>
    <row r="39" spans="1:25">
      <c r="A39" s="21"/>
      <c r="B39" s="183"/>
      <c r="C39" s="30" t="s">
        <v>46</v>
      </c>
      <c r="D39" s="27" t="e">
        <f t="shared" si="17"/>
        <v>#DIV/0!</v>
      </c>
      <c r="E39" s="43">
        <f>'Факт ПС за 3 года'!J47*'Факт ПС за 3 года'!K47</f>
        <v>0</v>
      </c>
      <c r="F39" s="54"/>
      <c r="G39" s="66">
        <v>338.67</v>
      </c>
      <c r="H39" s="31">
        <f t="shared" si="18"/>
        <v>0</v>
      </c>
      <c r="I39" s="55">
        <f t="shared" si="19"/>
        <v>0</v>
      </c>
      <c r="J39" s="27" t="e">
        <f t="shared" si="20"/>
        <v>#DIV/0!</v>
      </c>
      <c r="K39" s="43">
        <f>'Факт ПС за 3 года'!M47*'Факт ПС за 3 года'!N47</f>
        <v>0</v>
      </c>
      <c r="L39" s="54"/>
      <c r="M39" s="66">
        <v>338.67</v>
      </c>
      <c r="N39" s="31">
        <f t="shared" si="21"/>
        <v>0</v>
      </c>
      <c r="O39" s="55">
        <f t="shared" si="22"/>
        <v>0</v>
      </c>
      <c r="P39" s="245">
        <v>1847</v>
      </c>
      <c r="Q39" s="43">
        <f>'Факт ПС за 3 года'!R47</f>
        <v>0</v>
      </c>
      <c r="R39" s="31">
        <f t="shared" si="23"/>
        <v>0</v>
      </c>
      <c r="T39" s="216"/>
      <c r="U39" s="216"/>
      <c r="V39" s="216"/>
      <c r="W39" s="216"/>
      <c r="X39" s="216"/>
      <c r="Y39" s="216"/>
    </row>
    <row r="40" spans="1:25">
      <c r="A40" s="21"/>
      <c r="B40" s="183"/>
      <c r="C40" s="30" t="s">
        <v>47</v>
      </c>
      <c r="D40" s="27" t="e">
        <f t="shared" si="17"/>
        <v>#DIV/0!</v>
      </c>
      <c r="E40" s="43">
        <f>'Факт ПС за 3 года'!J48*'Факт ПС за 3 года'!K48</f>
        <v>0</v>
      </c>
      <c r="F40" s="54"/>
      <c r="G40" s="66">
        <v>321.12</v>
      </c>
      <c r="H40" s="31">
        <f t="shared" si="18"/>
        <v>0</v>
      </c>
      <c r="I40" s="55">
        <f t="shared" si="19"/>
        <v>0</v>
      </c>
      <c r="J40" s="27" t="e">
        <f t="shared" si="20"/>
        <v>#DIV/0!</v>
      </c>
      <c r="K40" s="43">
        <f>'Факт ПС за 3 года'!M48*'Факт ПС за 3 года'!N48</f>
        <v>0</v>
      </c>
      <c r="L40" s="54"/>
      <c r="M40" s="66">
        <v>321.12</v>
      </c>
      <c r="N40" s="31">
        <f t="shared" si="21"/>
        <v>0</v>
      </c>
      <c r="O40" s="55">
        <f t="shared" si="22"/>
        <v>0</v>
      </c>
      <c r="P40" s="245">
        <v>2236</v>
      </c>
      <c r="Q40" s="43">
        <f>'Факт ПС за 3 года'!R48</f>
        <v>0</v>
      </c>
      <c r="R40" s="31">
        <f t="shared" si="23"/>
        <v>0</v>
      </c>
    </row>
    <row r="41" spans="1:25">
      <c r="A41" s="21"/>
      <c r="B41" s="183"/>
      <c r="C41" s="39" t="s">
        <v>207</v>
      </c>
      <c r="D41" s="27" t="e">
        <f t="shared" si="17"/>
        <v>#DIV/0!</v>
      </c>
      <c r="E41" s="43">
        <f>'Факт ПС за 3 года'!J49*'Факт ПС за 3 года'!K49</f>
        <v>0</v>
      </c>
      <c r="F41" s="54"/>
      <c r="G41" s="66">
        <v>214.76</v>
      </c>
      <c r="H41" s="31">
        <f t="shared" si="18"/>
        <v>0</v>
      </c>
      <c r="I41" s="55">
        <f t="shared" si="19"/>
        <v>0</v>
      </c>
      <c r="J41" s="27" t="e">
        <f t="shared" si="20"/>
        <v>#DIV/0!</v>
      </c>
      <c r="K41" s="43">
        <f>'Факт ПС за 3 года'!M49*'Факт ПС за 3 года'!N49</f>
        <v>0</v>
      </c>
      <c r="L41" s="54"/>
      <c r="M41" s="66">
        <v>214.76</v>
      </c>
      <c r="N41" s="31">
        <f t="shared" si="21"/>
        <v>0</v>
      </c>
      <c r="O41" s="55">
        <f t="shared" si="22"/>
        <v>0</v>
      </c>
      <c r="P41" s="245">
        <v>1881</v>
      </c>
      <c r="Q41" s="43">
        <f>'Факт ПС за 3 года'!R49</f>
        <v>0</v>
      </c>
      <c r="R41" s="31">
        <f t="shared" si="23"/>
        <v>0</v>
      </c>
    </row>
    <row r="42" spans="1:25">
      <c r="A42" s="21"/>
      <c r="B42" s="41"/>
      <c r="C42" s="39" t="s">
        <v>208</v>
      </c>
      <c r="D42" s="27" t="e">
        <f t="shared" si="17"/>
        <v>#DIV/0!</v>
      </c>
      <c r="E42" s="43">
        <f>'Факт ПС за 3 года'!J50*'Факт ПС за 3 года'!K50</f>
        <v>0</v>
      </c>
      <c r="F42" s="54"/>
      <c r="G42" s="66">
        <v>205.1</v>
      </c>
      <c r="H42" s="31">
        <f t="shared" si="18"/>
        <v>0</v>
      </c>
      <c r="I42" s="55">
        <f t="shared" si="19"/>
        <v>0</v>
      </c>
      <c r="J42" s="27" t="e">
        <f t="shared" si="20"/>
        <v>#DIV/0!</v>
      </c>
      <c r="K42" s="43">
        <f>'Факт ПС за 3 года'!M50*'Факт ПС за 3 года'!N50</f>
        <v>0</v>
      </c>
      <c r="L42" s="54"/>
      <c r="M42" s="66">
        <v>205.1</v>
      </c>
      <c r="N42" s="31">
        <f t="shared" si="21"/>
        <v>0</v>
      </c>
      <c r="O42" s="55">
        <f t="shared" si="22"/>
        <v>0</v>
      </c>
      <c r="P42" s="245">
        <v>1379</v>
      </c>
      <c r="Q42" s="43">
        <f>'Факт ПС за 3 года'!R50</f>
        <v>0</v>
      </c>
      <c r="R42" s="31">
        <f t="shared" si="23"/>
        <v>0</v>
      </c>
    </row>
    <row r="43" spans="1:25">
      <c r="A43" s="21"/>
      <c r="B43" s="41"/>
      <c r="C43" s="39" t="s">
        <v>59</v>
      </c>
      <c r="D43" s="27" t="e">
        <f t="shared" si="17"/>
        <v>#DIV/0!</v>
      </c>
      <c r="E43" s="43">
        <f>'Факт ПС за 3 года'!J51*'Факт ПС за 3 года'!K51</f>
        <v>0</v>
      </c>
      <c r="F43" s="54"/>
      <c r="G43" s="66">
        <v>151.63999999999999</v>
      </c>
      <c r="H43" s="31">
        <f t="shared" si="18"/>
        <v>0</v>
      </c>
      <c r="I43" s="55">
        <f t="shared" si="19"/>
        <v>0</v>
      </c>
      <c r="J43" s="27" t="e">
        <f t="shared" si="20"/>
        <v>#DIV/0!</v>
      </c>
      <c r="K43" s="43">
        <f>'Факт ПС за 3 года'!M51*'Факт ПС за 3 года'!N51</f>
        <v>0</v>
      </c>
      <c r="L43" s="54"/>
      <c r="M43" s="66">
        <v>151.63999999999999</v>
      </c>
      <c r="N43" s="31">
        <f t="shared" si="21"/>
        <v>0</v>
      </c>
      <c r="O43" s="55">
        <f t="shared" si="22"/>
        <v>0</v>
      </c>
      <c r="P43" s="245">
        <v>1180</v>
      </c>
      <c r="Q43" s="43">
        <f>'Факт ПС за 3 года'!R51</f>
        <v>0</v>
      </c>
      <c r="R43" s="31">
        <f t="shared" si="23"/>
        <v>0</v>
      </c>
    </row>
    <row r="44" spans="1:25">
      <c r="A44" s="21"/>
      <c r="B44" s="41"/>
      <c r="C44" s="39" t="s">
        <v>60</v>
      </c>
      <c r="D44" s="27" t="e">
        <f t="shared" si="17"/>
        <v>#DIV/0!</v>
      </c>
      <c r="E44" s="43">
        <f>'Факт ПС за 3 года'!J52*'Факт ПС за 3 года'!K52</f>
        <v>0</v>
      </c>
      <c r="F44" s="54"/>
      <c r="G44" s="66">
        <v>2109.42</v>
      </c>
      <c r="H44" s="31">
        <f t="shared" si="18"/>
        <v>0</v>
      </c>
      <c r="I44" s="55">
        <f t="shared" si="19"/>
        <v>0</v>
      </c>
      <c r="J44" s="27" t="e">
        <f t="shared" si="20"/>
        <v>#DIV/0!</v>
      </c>
      <c r="K44" s="43">
        <f>'Факт ПС за 3 года'!M52*'Факт ПС за 3 года'!N52</f>
        <v>0</v>
      </c>
      <c r="L44" s="54"/>
      <c r="M44" s="66">
        <v>2109.42</v>
      </c>
      <c r="N44" s="31">
        <f t="shared" si="21"/>
        <v>0</v>
      </c>
      <c r="O44" s="55">
        <f t="shared" si="22"/>
        <v>0</v>
      </c>
      <c r="P44" s="245">
        <v>16601</v>
      </c>
      <c r="Q44" s="43">
        <f>'Факт ПС за 3 года'!R52</f>
        <v>0</v>
      </c>
      <c r="R44" s="31">
        <f t="shared" si="23"/>
        <v>0</v>
      </c>
      <c r="V44" s="85"/>
    </row>
    <row r="45" spans="1:25">
      <c r="A45" s="21"/>
      <c r="B45" s="41"/>
      <c r="C45" s="39" t="s">
        <v>61</v>
      </c>
      <c r="D45" s="27" t="e">
        <f t="shared" si="17"/>
        <v>#DIV/0!</v>
      </c>
      <c r="E45" s="43">
        <f>'Факт ПС за 3 года'!J53*'Факт ПС за 3 года'!K53</f>
        <v>0</v>
      </c>
      <c r="F45" s="54"/>
      <c r="G45" s="66">
        <v>1930.99</v>
      </c>
      <c r="H45" s="31">
        <f t="shared" si="18"/>
        <v>0</v>
      </c>
      <c r="I45" s="55">
        <f t="shared" si="19"/>
        <v>0</v>
      </c>
      <c r="J45" s="27" t="e">
        <f t="shared" si="20"/>
        <v>#DIV/0!</v>
      </c>
      <c r="K45" s="43">
        <f>'Факт ПС за 3 года'!M53*'Факт ПС за 3 года'!N53</f>
        <v>0</v>
      </c>
      <c r="L45" s="54"/>
      <c r="M45" s="66">
        <v>1930.99</v>
      </c>
      <c r="N45" s="31">
        <f t="shared" si="21"/>
        <v>0</v>
      </c>
      <c r="O45" s="55">
        <f t="shared" si="22"/>
        <v>0</v>
      </c>
      <c r="P45" s="245">
        <v>24685</v>
      </c>
      <c r="Q45" s="43">
        <f>'Факт ПС за 3 года'!R53</f>
        <v>0</v>
      </c>
      <c r="R45" s="31">
        <f t="shared" si="23"/>
        <v>0</v>
      </c>
    </row>
    <row r="46" spans="1:25">
      <c r="A46" s="21"/>
      <c r="B46" s="41"/>
      <c r="C46" s="39" t="s">
        <v>209</v>
      </c>
      <c r="D46" s="27" t="e">
        <f t="shared" si="17"/>
        <v>#DIV/0!</v>
      </c>
      <c r="E46" s="43">
        <f>'Факт ПС за 3 года'!J54*'Факт ПС за 3 года'!K54</f>
        <v>0</v>
      </c>
      <c r="F46" s="54"/>
      <c r="G46" s="66">
        <v>1843.97</v>
      </c>
      <c r="H46" s="31">
        <f t="shared" si="18"/>
        <v>0</v>
      </c>
      <c r="I46" s="55">
        <f t="shared" si="19"/>
        <v>0</v>
      </c>
      <c r="J46" s="27" t="e">
        <f t="shared" si="20"/>
        <v>#DIV/0!</v>
      </c>
      <c r="K46" s="43">
        <f>'Факт ПС за 3 года'!M54*'Факт ПС за 3 года'!N54</f>
        <v>0</v>
      </c>
      <c r="L46" s="54"/>
      <c r="M46" s="66">
        <v>1843.97</v>
      </c>
      <c r="N46" s="31">
        <f t="shared" si="21"/>
        <v>0</v>
      </c>
      <c r="O46" s="55">
        <f t="shared" si="22"/>
        <v>0</v>
      </c>
      <c r="P46" s="245">
        <v>21064</v>
      </c>
      <c r="Q46" s="43">
        <f>'Факт ПС за 3 года'!R54</f>
        <v>0</v>
      </c>
      <c r="R46" s="31">
        <f t="shared" si="23"/>
        <v>0</v>
      </c>
    </row>
    <row r="47" spans="1:25">
      <c r="A47" s="21"/>
      <c r="B47" s="41"/>
      <c r="C47" s="39" t="s">
        <v>210</v>
      </c>
      <c r="D47" s="27" t="e">
        <f t="shared" si="17"/>
        <v>#DIV/0!</v>
      </c>
      <c r="E47" s="43">
        <f>'Факт ПС за 3 года'!J55*'Факт ПС за 3 года'!K55</f>
        <v>0</v>
      </c>
      <c r="F47" s="54"/>
      <c r="G47" s="66">
        <v>988.3</v>
      </c>
      <c r="H47" s="31">
        <f t="shared" si="18"/>
        <v>0</v>
      </c>
      <c r="I47" s="55">
        <f t="shared" si="19"/>
        <v>0</v>
      </c>
      <c r="J47" s="27" t="e">
        <f t="shared" si="20"/>
        <v>#DIV/0!</v>
      </c>
      <c r="K47" s="43">
        <f>'Факт ПС за 3 года'!M55*'Факт ПС за 3 года'!N55</f>
        <v>0</v>
      </c>
      <c r="L47" s="54"/>
      <c r="M47" s="66">
        <v>988.3</v>
      </c>
      <c r="N47" s="31">
        <f t="shared" si="21"/>
        <v>0</v>
      </c>
      <c r="O47" s="55">
        <f t="shared" si="22"/>
        <v>0</v>
      </c>
      <c r="P47" s="245">
        <v>12624</v>
      </c>
      <c r="Q47" s="43">
        <f>'Факт ПС за 3 года'!R55</f>
        <v>0</v>
      </c>
      <c r="R47" s="31">
        <f t="shared" si="23"/>
        <v>0</v>
      </c>
    </row>
    <row r="48" spans="1:25">
      <c r="A48" s="21"/>
      <c r="B48" s="41"/>
      <c r="C48" s="39" t="s">
        <v>211</v>
      </c>
      <c r="D48" s="27" t="e">
        <f t="shared" si="17"/>
        <v>#DIV/0!</v>
      </c>
      <c r="E48" s="43">
        <f>'Факт ПС за 3 года'!J56*'Факт ПС за 3 года'!K56</f>
        <v>0</v>
      </c>
      <c r="F48" s="54"/>
      <c r="G48" s="66">
        <v>601.14</v>
      </c>
      <c r="H48" s="31">
        <f t="shared" si="18"/>
        <v>0</v>
      </c>
      <c r="I48" s="55">
        <f t="shared" si="19"/>
        <v>0</v>
      </c>
      <c r="J48" s="27" t="e">
        <f t="shared" si="20"/>
        <v>#DIV/0!</v>
      </c>
      <c r="K48" s="43">
        <f>'Факт ПС за 3 года'!M56*'Факт ПС за 3 года'!N56</f>
        <v>0</v>
      </c>
      <c r="L48" s="54"/>
      <c r="M48" s="66">
        <v>601.14</v>
      </c>
      <c r="N48" s="31">
        <f t="shared" si="21"/>
        <v>0</v>
      </c>
      <c r="O48" s="55">
        <f t="shared" si="22"/>
        <v>0</v>
      </c>
      <c r="P48" s="245">
        <v>10416</v>
      </c>
      <c r="Q48" s="43">
        <f>'Факт ПС за 3 года'!R56</f>
        <v>0</v>
      </c>
      <c r="R48" s="31">
        <f t="shared" si="23"/>
        <v>0</v>
      </c>
    </row>
    <row r="49" spans="1:18">
      <c r="A49" s="21"/>
      <c r="B49" s="41"/>
      <c r="C49" s="39" t="s">
        <v>212</v>
      </c>
      <c r="D49" s="27" t="e">
        <f t="shared" si="17"/>
        <v>#DIV/0!</v>
      </c>
      <c r="E49" s="43">
        <f>'Факт ПС за 3 года'!J57*'Факт ПС за 3 года'!K57</f>
        <v>0</v>
      </c>
      <c r="F49" s="54"/>
      <c r="G49" s="66">
        <v>480.27</v>
      </c>
      <c r="H49" s="31">
        <f t="shared" si="18"/>
        <v>0</v>
      </c>
      <c r="I49" s="55">
        <f t="shared" si="19"/>
        <v>0</v>
      </c>
      <c r="J49" s="27" t="e">
        <f t="shared" si="20"/>
        <v>#DIV/0!</v>
      </c>
      <c r="K49" s="43">
        <f>'Факт ПС за 3 года'!M57*'Факт ПС за 3 года'!N57</f>
        <v>0</v>
      </c>
      <c r="L49" s="54"/>
      <c r="M49" s="66">
        <v>480.27</v>
      </c>
      <c r="N49" s="31">
        <f t="shared" si="21"/>
        <v>0</v>
      </c>
      <c r="O49" s="55">
        <f t="shared" si="22"/>
        <v>0</v>
      </c>
      <c r="P49" s="245">
        <v>6949</v>
      </c>
      <c r="Q49" s="43">
        <f>'Факт ПС за 3 года'!R57</f>
        <v>0</v>
      </c>
      <c r="R49" s="31">
        <f t="shared" si="23"/>
        <v>0</v>
      </c>
    </row>
    <row r="50" spans="1:18" ht="24">
      <c r="A50" s="21"/>
      <c r="B50" s="41" t="s">
        <v>92</v>
      </c>
      <c r="C50" s="42" t="s">
        <v>35</v>
      </c>
      <c r="D50" s="27" t="e">
        <f t="shared" si="7"/>
        <v>#DIV/0!</v>
      </c>
      <c r="E50" s="28"/>
      <c r="F50" s="54"/>
      <c r="G50" s="65"/>
      <c r="H50" s="31">
        <f>'Факт ПС за 3 года'!J22*'Факт ПС за 3 года'!K22</f>
        <v>0</v>
      </c>
      <c r="I50" s="55">
        <f t="shared" si="19"/>
        <v>0</v>
      </c>
      <c r="J50" s="27" t="e">
        <f t="shared" ref="J50" si="24">L50*1000/K50</f>
        <v>#DIV/0!</v>
      </c>
      <c r="K50" s="28"/>
      <c r="L50" s="54"/>
      <c r="M50" s="65"/>
      <c r="N50" s="31">
        <f>'Факт ПС за 3 года'!P22*'Факт ПС за 3 года'!Q22</f>
        <v>0</v>
      </c>
      <c r="O50" s="55">
        <f t="shared" si="22"/>
        <v>0</v>
      </c>
      <c r="P50" s="245"/>
      <c r="Q50" s="28"/>
      <c r="R50" s="31">
        <f>P50*Q50/1000</f>
        <v>0</v>
      </c>
    </row>
    <row r="51" spans="1:18" ht="12" customHeight="1">
      <c r="A51" s="21"/>
      <c r="B51" s="277" t="s">
        <v>48</v>
      </c>
      <c r="C51" s="278"/>
      <c r="D51" s="33"/>
      <c r="E51" s="33"/>
      <c r="F51" s="56"/>
      <c r="G51" s="67"/>
      <c r="H51" s="33"/>
      <c r="I51" s="56"/>
      <c r="J51" s="33"/>
      <c r="K51" s="33"/>
      <c r="L51" s="56"/>
      <c r="M51" s="67"/>
      <c r="N51" s="33"/>
      <c r="O51" s="56"/>
      <c r="P51" s="247"/>
      <c r="Q51" s="33"/>
      <c r="R51" s="34"/>
    </row>
    <row r="52" spans="1:18">
      <c r="A52" s="21"/>
      <c r="B52" s="183" t="s">
        <v>93</v>
      </c>
      <c r="C52" s="30" t="s">
        <v>28</v>
      </c>
      <c r="D52" s="35"/>
      <c r="E52" s="88">
        <f>SUM(E53:E58)</f>
        <v>0</v>
      </c>
      <c r="F52" s="88">
        <f>SUM(F53:F58)</f>
        <v>0</v>
      </c>
      <c r="G52" s="66"/>
      <c r="H52" s="88">
        <f>SUM(H53:H58)</f>
        <v>0</v>
      </c>
      <c r="I52" s="88">
        <f>SUM(I53:I58)</f>
        <v>0</v>
      </c>
      <c r="J52" s="35"/>
      <c r="K52" s="88">
        <f>SUM(K53:K58)</f>
        <v>0</v>
      </c>
      <c r="L52" s="88">
        <f>SUM(L53:L58)</f>
        <v>0</v>
      </c>
      <c r="M52" s="66"/>
      <c r="N52" s="88">
        <f>SUM(N53:N58)</f>
        <v>0</v>
      </c>
      <c r="O52" s="88">
        <f>SUM(O53:O58)</f>
        <v>0</v>
      </c>
      <c r="P52" s="248"/>
      <c r="Q52" s="88">
        <f>SUM(Q53:Q58)</f>
        <v>0</v>
      </c>
      <c r="R52" s="88">
        <f>SUM(R53:R58)</f>
        <v>0</v>
      </c>
    </row>
    <row r="53" spans="1:18">
      <c r="A53" s="21"/>
      <c r="B53" s="183"/>
      <c r="C53" s="30" t="s">
        <v>190</v>
      </c>
      <c r="D53" s="27" t="e">
        <f>F53*1000/E53</f>
        <v>#DIV/0!</v>
      </c>
      <c r="E53" s="43">
        <f>'Факт ТП за 3 года'!J127</f>
        <v>0</v>
      </c>
      <c r="F53" s="54"/>
      <c r="G53" s="66">
        <v>160140.28</v>
      </c>
      <c r="H53" s="31">
        <f>E53</f>
        <v>0</v>
      </c>
      <c r="I53" s="55">
        <f>G53*H53*$V$24*$X$24/1000</f>
        <v>0</v>
      </c>
      <c r="J53" s="27" t="e">
        <f>L53*1000/K53</f>
        <v>#DIV/0!</v>
      </c>
      <c r="K53" s="43">
        <f>'Факт ТП за 3 года'!L127</f>
        <v>0</v>
      </c>
      <c r="L53" s="54"/>
      <c r="M53" s="66">
        <v>160140.28</v>
      </c>
      <c r="N53" s="31">
        <f>K53</f>
        <v>0</v>
      </c>
      <c r="O53" s="55">
        <f>M53*N53*$V$24*$X$24/1000</f>
        <v>0</v>
      </c>
      <c r="P53" s="245">
        <v>884796</v>
      </c>
      <c r="Q53" s="43">
        <f>'Факт ТП за 3 года'!D127</f>
        <v>0</v>
      </c>
      <c r="R53" s="31">
        <f t="shared" ref="R53:R70" si="25">P53*Q53/1000</f>
        <v>0</v>
      </c>
    </row>
    <row r="54" spans="1:18">
      <c r="A54" s="21"/>
      <c r="B54" s="183"/>
      <c r="C54" s="30" t="s">
        <v>191</v>
      </c>
      <c r="D54" s="27" t="e">
        <f t="shared" ref="D54:D58" si="26">F54*1000/E54</f>
        <v>#DIV/0!</v>
      </c>
      <c r="E54" s="43">
        <f>'Факт ТП за 3 года'!J128</f>
        <v>0</v>
      </c>
      <c r="F54" s="54"/>
      <c r="G54" s="66">
        <v>230448.16</v>
      </c>
      <c r="H54" s="31">
        <f t="shared" ref="H54:H58" si="27">E54</f>
        <v>0</v>
      </c>
      <c r="I54" s="55">
        <f t="shared" ref="I54:I58" si="28">G54*H54*$V$24*$X$24/1000</f>
        <v>0</v>
      </c>
      <c r="J54" s="27" t="e">
        <f t="shared" ref="J54:J58" si="29">L54*1000/K54</f>
        <v>#DIV/0!</v>
      </c>
      <c r="K54" s="43">
        <f>'Факт ТП за 3 года'!L128</f>
        <v>0</v>
      </c>
      <c r="L54" s="54"/>
      <c r="M54" s="66">
        <v>230448.16</v>
      </c>
      <c r="N54" s="31">
        <f t="shared" ref="N54:N58" si="30">K54</f>
        <v>0</v>
      </c>
      <c r="O54" s="55">
        <f t="shared" ref="O54:O58" si="31">M54*N54*$V$24*$X$24/1000</f>
        <v>0</v>
      </c>
      <c r="P54" s="245">
        <f>P53</f>
        <v>884796</v>
      </c>
      <c r="Q54" s="43">
        <f>'Факт ТП за 3 года'!D128</f>
        <v>0</v>
      </c>
      <c r="R54" s="31">
        <f t="shared" si="25"/>
        <v>0</v>
      </c>
    </row>
    <row r="55" spans="1:18">
      <c r="A55" s="21"/>
      <c r="B55" s="183"/>
      <c r="C55" s="30" t="s">
        <v>192</v>
      </c>
      <c r="D55" s="27" t="e">
        <f t="shared" si="26"/>
        <v>#DIV/0!</v>
      </c>
      <c r="E55" s="43">
        <f>'Факт ТП за 3 года'!J129</f>
        <v>0</v>
      </c>
      <c r="F55" s="54"/>
      <c r="G55" s="66">
        <v>230331.91</v>
      </c>
      <c r="H55" s="31">
        <f t="shared" si="27"/>
        <v>0</v>
      </c>
      <c r="I55" s="55">
        <f t="shared" si="28"/>
        <v>0</v>
      </c>
      <c r="J55" s="27" t="e">
        <f t="shared" si="29"/>
        <v>#DIV/0!</v>
      </c>
      <c r="K55" s="43">
        <f>'Факт ТП за 3 года'!L129</f>
        <v>0</v>
      </c>
      <c r="L55" s="54"/>
      <c r="M55" s="66">
        <v>230331.91</v>
      </c>
      <c r="N55" s="31">
        <f t="shared" si="30"/>
        <v>0</v>
      </c>
      <c r="O55" s="55">
        <f t="shared" si="31"/>
        <v>0</v>
      </c>
      <c r="P55" s="245">
        <v>1378956</v>
      </c>
      <c r="Q55" s="43">
        <f>'Факт ТП за 3 года'!D129</f>
        <v>0</v>
      </c>
      <c r="R55" s="31">
        <f t="shared" si="25"/>
        <v>0</v>
      </c>
    </row>
    <row r="56" spans="1:18">
      <c r="A56" s="21"/>
      <c r="B56" s="183"/>
      <c r="C56" s="30" t="s">
        <v>193</v>
      </c>
      <c r="D56" s="27" t="e">
        <f t="shared" si="26"/>
        <v>#DIV/0!</v>
      </c>
      <c r="E56" s="43">
        <f>'Факт ТП за 3 года'!J130</f>
        <v>0</v>
      </c>
      <c r="F56" s="54"/>
      <c r="G56" s="66">
        <v>281329.75</v>
      </c>
      <c r="H56" s="31">
        <f t="shared" si="27"/>
        <v>0</v>
      </c>
      <c r="I56" s="55">
        <f>G56*H56*$V$24*$X$24/1000</f>
        <v>0</v>
      </c>
      <c r="J56" s="27" t="e">
        <f t="shared" si="29"/>
        <v>#DIV/0!</v>
      </c>
      <c r="K56" s="43">
        <f>'Факт ТП за 3 года'!L130</f>
        <v>0</v>
      </c>
      <c r="L56" s="54"/>
      <c r="M56" s="66">
        <v>281329.75</v>
      </c>
      <c r="N56" s="31">
        <f t="shared" si="30"/>
        <v>0</v>
      </c>
      <c r="O56" s="55">
        <f>M56*N56*$V$24*$X$24/1000</f>
        <v>0</v>
      </c>
      <c r="P56" s="245">
        <f>P55</f>
        <v>1378956</v>
      </c>
      <c r="Q56" s="43">
        <f>'Факт ТП за 3 года'!D130</f>
        <v>0</v>
      </c>
      <c r="R56" s="31">
        <f t="shared" si="25"/>
        <v>0</v>
      </c>
    </row>
    <row r="57" spans="1:18">
      <c r="A57" s="21"/>
      <c r="B57" s="183"/>
      <c r="C57" s="30" t="s">
        <v>194</v>
      </c>
      <c r="D57" s="27" t="e">
        <f t="shared" si="26"/>
        <v>#DIV/0!</v>
      </c>
      <c r="E57" s="43">
        <f>'Факт ТП за 3 года'!J131</f>
        <v>0</v>
      </c>
      <c r="F57" s="54"/>
      <c r="G57" s="66">
        <v>307436.89</v>
      </c>
      <c r="H57" s="31">
        <f t="shared" si="27"/>
        <v>0</v>
      </c>
      <c r="I57" s="55">
        <f>G57*H57*$V$24*$X$24/1000</f>
        <v>0</v>
      </c>
      <c r="J57" s="27" t="e">
        <f t="shared" si="29"/>
        <v>#DIV/0!</v>
      </c>
      <c r="K57" s="43">
        <f>'Факт ТП за 3 года'!L131</f>
        <v>0</v>
      </c>
      <c r="L57" s="54"/>
      <c r="M57" s="66">
        <v>307436.89</v>
      </c>
      <c r="N57" s="31">
        <f t="shared" si="30"/>
        <v>0</v>
      </c>
      <c r="O57" s="55">
        <f>M57*N57*$V$24*$X$24/1000</f>
        <v>0</v>
      </c>
      <c r="P57" s="245">
        <v>1660966</v>
      </c>
      <c r="Q57" s="43">
        <f>'Факт ТП за 3 года'!D131</f>
        <v>0</v>
      </c>
      <c r="R57" s="31">
        <f t="shared" si="25"/>
        <v>0</v>
      </c>
    </row>
    <row r="58" spans="1:18">
      <c r="A58" s="21"/>
      <c r="B58" s="183"/>
      <c r="C58" s="30" t="s">
        <v>195</v>
      </c>
      <c r="D58" s="27" t="e">
        <f t="shared" si="26"/>
        <v>#DIV/0!</v>
      </c>
      <c r="E58" s="43">
        <f>'Факт ТП за 3 года'!J132</f>
        <v>0</v>
      </c>
      <c r="F58" s="54"/>
      <c r="G58" s="66">
        <v>326756.55</v>
      </c>
      <c r="H58" s="31">
        <f t="shared" si="27"/>
        <v>0</v>
      </c>
      <c r="I58" s="55">
        <f t="shared" si="28"/>
        <v>0</v>
      </c>
      <c r="J58" s="27" t="e">
        <f t="shared" si="29"/>
        <v>#DIV/0!</v>
      </c>
      <c r="K58" s="43">
        <f>'Факт ТП за 3 года'!L132</f>
        <v>0</v>
      </c>
      <c r="L58" s="54"/>
      <c r="M58" s="66">
        <v>326756.55</v>
      </c>
      <c r="N58" s="31">
        <f t="shared" si="30"/>
        <v>0</v>
      </c>
      <c r="O58" s="55">
        <f t="shared" si="31"/>
        <v>0</v>
      </c>
      <c r="P58" s="245">
        <v>1765351</v>
      </c>
      <c r="Q58" s="43">
        <f>'Факт ТП за 3 года'!D132</f>
        <v>0</v>
      </c>
      <c r="R58" s="31">
        <f t="shared" si="25"/>
        <v>0</v>
      </c>
    </row>
    <row r="59" spans="1:18">
      <c r="A59" s="21"/>
      <c r="B59" s="183" t="s">
        <v>94</v>
      </c>
      <c r="C59" s="30" t="s">
        <v>30</v>
      </c>
      <c r="D59" s="49"/>
      <c r="E59" s="88">
        <f>SUM(E60:E67)</f>
        <v>0</v>
      </c>
      <c r="F59" s="88">
        <f>SUM(F60:F67)</f>
        <v>0</v>
      </c>
      <c r="G59" s="66"/>
      <c r="H59" s="88">
        <f>SUM(H60:H67)</f>
        <v>0</v>
      </c>
      <c r="I59" s="88">
        <f>SUM(I60:I67)</f>
        <v>0</v>
      </c>
      <c r="J59" s="49"/>
      <c r="K59" s="88">
        <f>SUM(K60:K67)</f>
        <v>0</v>
      </c>
      <c r="L59" s="88">
        <f>SUM(L60:L67)</f>
        <v>0</v>
      </c>
      <c r="M59" s="66"/>
      <c r="N59" s="88">
        <f>SUM(N60:N67)</f>
        <v>0</v>
      </c>
      <c r="O59" s="88">
        <f>SUM(O60:O67)</f>
        <v>0</v>
      </c>
      <c r="P59" s="248"/>
      <c r="Q59" s="88">
        <f>SUM(Q60:Q67)</f>
        <v>0</v>
      </c>
      <c r="R59" s="88">
        <f>SUM(R60:R67)</f>
        <v>0</v>
      </c>
    </row>
    <row r="60" spans="1:18">
      <c r="A60" s="21"/>
      <c r="B60" s="183"/>
      <c r="C60" s="30" t="s">
        <v>196</v>
      </c>
      <c r="D60" s="27" t="e">
        <f t="shared" ref="D60" si="32">F60*1000/E60</f>
        <v>#DIV/0!</v>
      </c>
      <c r="E60" s="43">
        <f>'Факт ТП за 3 года'!J134</f>
        <v>0</v>
      </c>
      <c r="F60" s="54"/>
      <c r="G60" s="66">
        <v>349612.6</v>
      </c>
      <c r="H60" s="31">
        <f>E60</f>
        <v>0</v>
      </c>
      <c r="I60" s="55">
        <f>G60*H60*$V$25*$X$25/1000</f>
        <v>0</v>
      </c>
      <c r="J60" s="27" t="e">
        <f t="shared" ref="J60" si="33">L60*1000/K60</f>
        <v>#DIV/0!</v>
      </c>
      <c r="K60" s="43">
        <f>'Факт ТП за 3 года'!L134</f>
        <v>0</v>
      </c>
      <c r="L60" s="54"/>
      <c r="M60" s="66">
        <v>349612.6</v>
      </c>
      <c r="N60" s="31">
        <f>K60</f>
        <v>0</v>
      </c>
      <c r="O60" s="55">
        <f>M60*N60*$V$25*$X$25/1000</f>
        <v>0</v>
      </c>
      <c r="P60" s="245">
        <v>1067179</v>
      </c>
      <c r="Q60" s="43">
        <f>'Факт ТП за 3 года'!D134</f>
        <v>0</v>
      </c>
      <c r="R60" s="31">
        <f>P60*Q60/1000</f>
        <v>0</v>
      </c>
    </row>
    <row r="61" spans="1:18">
      <c r="A61" s="21"/>
      <c r="B61" s="183"/>
      <c r="C61" s="30" t="s">
        <v>197</v>
      </c>
      <c r="D61" s="27" t="e">
        <f>F61*1000/E61</f>
        <v>#DIV/0!</v>
      </c>
      <c r="E61" s="43">
        <f>'Факт ТП за 3 года'!J135</f>
        <v>0</v>
      </c>
      <c r="F61" s="54"/>
      <c r="G61" s="66">
        <v>339575.48</v>
      </c>
      <c r="H61" s="31">
        <f t="shared" ref="H61:H64" si="34">E61</f>
        <v>0</v>
      </c>
      <c r="I61" s="55">
        <f t="shared" ref="I61:I67" si="35">G61*H61*$V$25*$X$25/1000</f>
        <v>0</v>
      </c>
      <c r="J61" s="27" t="e">
        <f>L61*1000/K61</f>
        <v>#DIV/0!</v>
      </c>
      <c r="K61" s="43">
        <f>'Факт ТП за 3 года'!L135</f>
        <v>0</v>
      </c>
      <c r="L61" s="54"/>
      <c r="M61" s="66">
        <v>339575.48</v>
      </c>
      <c r="N61" s="31">
        <f t="shared" ref="N61:N64" si="36">K61</f>
        <v>0</v>
      </c>
      <c r="O61" s="55">
        <f t="shared" ref="O61:O67" si="37">M61*N61*$V$25*$X$25/1000</f>
        <v>0</v>
      </c>
      <c r="P61" s="245">
        <v>1563709</v>
      </c>
      <c r="Q61" s="43">
        <f>'Факт ТП за 3 года'!D135</f>
        <v>0</v>
      </c>
      <c r="R61" s="31">
        <f t="shared" si="25"/>
        <v>0</v>
      </c>
    </row>
    <row r="62" spans="1:18">
      <c r="A62" s="21"/>
      <c r="B62" s="183"/>
      <c r="C62" s="30" t="s">
        <v>198</v>
      </c>
      <c r="D62" s="27" t="e">
        <f t="shared" ref="D62:D67" si="38">F62*1000/E62</f>
        <v>#DIV/0!</v>
      </c>
      <c r="E62" s="43">
        <f>'Факт ТП за 3 года'!J136</f>
        <v>0</v>
      </c>
      <c r="F62" s="54"/>
      <c r="G62" s="66">
        <v>402924.79999999999</v>
      </c>
      <c r="H62" s="31">
        <f t="shared" si="34"/>
        <v>0</v>
      </c>
      <c r="I62" s="55">
        <f t="shared" si="35"/>
        <v>0</v>
      </c>
      <c r="J62" s="27" t="e">
        <f t="shared" ref="J62:J67" si="39">L62*1000/K62</f>
        <v>#DIV/0!</v>
      </c>
      <c r="K62" s="43">
        <f>'Факт ТП за 3 года'!L136</f>
        <v>0</v>
      </c>
      <c r="L62" s="54"/>
      <c r="M62" s="66">
        <v>402924.79999999999</v>
      </c>
      <c r="N62" s="31">
        <f t="shared" si="36"/>
        <v>0</v>
      </c>
      <c r="O62" s="55">
        <f t="shared" si="37"/>
        <v>0</v>
      </c>
      <c r="P62" s="245">
        <v>1678139</v>
      </c>
      <c r="Q62" s="43">
        <f>'Факт ТП за 3 года'!D136</f>
        <v>0</v>
      </c>
      <c r="R62" s="31">
        <f t="shared" si="25"/>
        <v>0</v>
      </c>
    </row>
    <row r="63" spans="1:18">
      <c r="A63" s="21"/>
      <c r="B63" s="183"/>
      <c r="C63" s="30" t="s">
        <v>199</v>
      </c>
      <c r="D63" s="27" t="e">
        <f t="shared" si="38"/>
        <v>#DIV/0!</v>
      </c>
      <c r="E63" s="43">
        <f>'Факт ТП за 3 года'!J137</f>
        <v>0</v>
      </c>
      <c r="F63" s="54"/>
      <c r="G63" s="66">
        <v>511959.36</v>
      </c>
      <c r="H63" s="31">
        <f>E63</f>
        <v>0</v>
      </c>
      <c r="I63" s="55">
        <f t="shared" si="35"/>
        <v>0</v>
      </c>
      <c r="J63" s="27" t="e">
        <f t="shared" si="39"/>
        <v>#DIV/0!</v>
      </c>
      <c r="K63" s="43">
        <f>'Факт ТП за 3 года'!L137</f>
        <v>0</v>
      </c>
      <c r="L63" s="54"/>
      <c r="M63" s="66">
        <v>511959.36</v>
      </c>
      <c r="N63" s="31">
        <f>K63</f>
        <v>0</v>
      </c>
      <c r="O63" s="55">
        <f t="shared" si="37"/>
        <v>0</v>
      </c>
      <c r="P63" s="245">
        <v>2233006</v>
      </c>
      <c r="Q63" s="43">
        <f>'Факт ТП за 3 года'!D137</f>
        <v>0</v>
      </c>
      <c r="R63" s="31">
        <f t="shared" si="25"/>
        <v>0</v>
      </c>
    </row>
    <row r="64" spans="1:18">
      <c r="A64" s="21"/>
      <c r="B64" s="183"/>
      <c r="C64" s="30" t="s">
        <v>200</v>
      </c>
      <c r="D64" s="27" t="e">
        <f t="shared" si="38"/>
        <v>#DIV/0!</v>
      </c>
      <c r="E64" s="43">
        <f>'Факт ТП за 3 года'!J138</f>
        <v>0</v>
      </c>
      <c r="F64" s="54"/>
      <c r="G64" s="66">
        <f>G27</f>
        <v>457009.94</v>
      </c>
      <c r="H64" s="31">
        <f t="shared" si="34"/>
        <v>0</v>
      </c>
      <c r="I64" s="55">
        <f t="shared" si="35"/>
        <v>0</v>
      </c>
      <c r="J64" s="27" t="e">
        <f t="shared" si="39"/>
        <v>#DIV/0!</v>
      </c>
      <c r="K64" s="43">
        <f>'Факт ТП за 3 года'!L138</f>
        <v>0</v>
      </c>
      <c r="L64" s="54"/>
      <c r="M64" s="66">
        <f>M27</f>
        <v>457009.94</v>
      </c>
      <c r="N64" s="31">
        <f t="shared" si="36"/>
        <v>0</v>
      </c>
      <c r="O64" s="55">
        <f t="shared" si="37"/>
        <v>0</v>
      </c>
      <c r="P64" s="245">
        <v>1690274</v>
      </c>
      <c r="Q64" s="43">
        <f>'Факт ТП за 3 года'!D138</f>
        <v>0</v>
      </c>
      <c r="R64" s="31">
        <f t="shared" si="25"/>
        <v>0</v>
      </c>
    </row>
    <row r="65" spans="1:18">
      <c r="A65" s="21"/>
      <c r="B65" s="183"/>
      <c r="C65" s="30" t="s">
        <v>201</v>
      </c>
      <c r="D65" s="27" t="e">
        <f t="shared" si="38"/>
        <v>#DIV/0!</v>
      </c>
      <c r="E65" s="43">
        <f>'Факт ТП за 3 года'!J139</f>
        <v>0</v>
      </c>
      <c r="F65" s="54"/>
      <c r="G65" s="66">
        <f t="shared" ref="G65:G67" si="40">G28</f>
        <v>492138.38</v>
      </c>
      <c r="H65" s="31">
        <f>E65</f>
        <v>0</v>
      </c>
      <c r="I65" s="55">
        <f t="shared" si="35"/>
        <v>0</v>
      </c>
      <c r="J65" s="27" t="e">
        <f t="shared" si="39"/>
        <v>#DIV/0!</v>
      </c>
      <c r="K65" s="43">
        <f>'Факт ТП за 3 года'!L139</f>
        <v>0</v>
      </c>
      <c r="L65" s="54"/>
      <c r="M65" s="66">
        <f t="shared" ref="M65:M67" si="41">M28</f>
        <v>492138.38</v>
      </c>
      <c r="N65" s="31">
        <f>K65</f>
        <v>0</v>
      </c>
      <c r="O65" s="55">
        <f t="shared" si="37"/>
        <v>0</v>
      </c>
      <c r="P65" s="245">
        <v>2396014</v>
      </c>
      <c r="Q65" s="43">
        <f>'Факт ТП за 3 года'!D139</f>
        <v>0</v>
      </c>
      <c r="R65" s="31">
        <f t="shared" si="25"/>
        <v>0</v>
      </c>
    </row>
    <row r="66" spans="1:18">
      <c r="A66" s="21"/>
      <c r="B66" s="183"/>
      <c r="C66" s="30" t="s">
        <v>202</v>
      </c>
      <c r="D66" s="27" t="e">
        <f t="shared" si="38"/>
        <v>#DIV/0!</v>
      </c>
      <c r="E66" s="43">
        <f>'Факт ТП за 3 года'!J140</f>
        <v>0</v>
      </c>
      <c r="F66" s="54"/>
      <c r="G66" s="66">
        <f t="shared" si="40"/>
        <v>615152.36</v>
      </c>
      <c r="H66" s="31">
        <f t="shared" ref="H66:H67" si="42">E66</f>
        <v>0</v>
      </c>
      <c r="I66" s="55">
        <f t="shared" si="35"/>
        <v>0</v>
      </c>
      <c r="J66" s="27" t="e">
        <f t="shared" si="39"/>
        <v>#DIV/0!</v>
      </c>
      <c r="K66" s="43">
        <f>'Факт ТП за 3 года'!L140</f>
        <v>0</v>
      </c>
      <c r="L66" s="54"/>
      <c r="M66" s="66">
        <f t="shared" si="41"/>
        <v>615152.36</v>
      </c>
      <c r="N66" s="31">
        <f t="shared" ref="N66:N67" si="43">K66</f>
        <v>0</v>
      </c>
      <c r="O66" s="55">
        <f t="shared" si="37"/>
        <v>0</v>
      </c>
      <c r="P66" s="245">
        <v>2859064</v>
      </c>
      <c r="Q66" s="43">
        <f>'Факт ТП за 3 года'!D140</f>
        <v>0</v>
      </c>
      <c r="R66" s="31">
        <f t="shared" si="25"/>
        <v>0</v>
      </c>
    </row>
    <row r="67" spans="1:18">
      <c r="A67" s="21"/>
      <c r="B67" s="183"/>
      <c r="C67" s="30" t="s">
        <v>203</v>
      </c>
      <c r="D67" s="27" t="e">
        <f t="shared" si="38"/>
        <v>#DIV/0!</v>
      </c>
      <c r="E67" s="43">
        <f>'Факт ТП за 3 года'!J141</f>
        <v>0</v>
      </c>
      <c r="F67" s="54"/>
      <c r="G67" s="66">
        <f t="shared" si="40"/>
        <v>781617.34</v>
      </c>
      <c r="H67" s="31">
        <f t="shared" si="42"/>
        <v>0</v>
      </c>
      <c r="I67" s="55">
        <f t="shared" si="35"/>
        <v>0</v>
      </c>
      <c r="J67" s="27" t="e">
        <f t="shared" si="39"/>
        <v>#DIV/0!</v>
      </c>
      <c r="K67" s="43">
        <f>'Факт ТП за 3 года'!L141</f>
        <v>0</v>
      </c>
      <c r="L67" s="54"/>
      <c r="M67" s="66">
        <f t="shared" si="41"/>
        <v>781617.34</v>
      </c>
      <c r="N67" s="31">
        <f t="shared" si="43"/>
        <v>0</v>
      </c>
      <c r="O67" s="55">
        <f t="shared" si="37"/>
        <v>0</v>
      </c>
      <c r="P67" s="245">
        <v>3536794</v>
      </c>
      <c r="Q67" s="43">
        <f>'Факт ТП за 3 года'!D141</f>
        <v>0</v>
      </c>
      <c r="R67" s="31">
        <f t="shared" si="25"/>
        <v>0</v>
      </c>
    </row>
    <row r="68" spans="1:18">
      <c r="A68" s="21"/>
      <c r="B68" s="183" t="s">
        <v>95</v>
      </c>
      <c r="C68" s="30" t="s">
        <v>44</v>
      </c>
      <c r="D68" s="49"/>
      <c r="E68" s="88">
        <f>SUM(E69:E70)</f>
        <v>0</v>
      </c>
      <c r="F68" s="88">
        <f>SUM(F69:F70)</f>
        <v>0</v>
      </c>
      <c r="H68" s="88">
        <f>SUM(H69:H70)</f>
        <v>0</v>
      </c>
      <c r="I68" s="88">
        <f>SUM(I69:I70)</f>
        <v>0</v>
      </c>
      <c r="J68" s="49"/>
      <c r="K68" s="88">
        <f>SUM(K69:K70)</f>
        <v>0</v>
      </c>
      <c r="L68" s="88">
        <f>SUM(L69:L70)</f>
        <v>0</v>
      </c>
      <c r="N68" s="88">
        <f>SUM(N69:N70)</f>
        <v>0</v>
      </c>
      <c r="O68" s="88">
        <f>SUM(O69:O70)</f>
        <v>0</v>
      </c>
      <c r="P68" s="246"/>
      <c r="Q68" s="88">
        <f>SUM(Q69:Q70)</f>
        <v>0</v>
      </c>
      <c r="R68" s="88">
        <f>SUM(R69:R70)</f>
        <v>0</v>
      </c>
    </row>
    <row r="69" spans="1:18">
      <c r="A69" s="21"/>
      <c r="B69" s="183"/>
      <c r="C69" s="30" t="s">
        <v>227</v>
      </c>
      <c r="D69" s="27" t="e">
        <f t="shared" ref="D69:D70" si="44">F69*1000/E69</f>
        <v>#DIV/0!</v>
      </c>
      <c r="E69" s="28"/>
      <c r="F69" s="54"/>
      <c r="G69" s="66">
        <v>75.989999999999995</v>
      </c>
      <c r="H69" s="31">
        <f>E69</f>
        <v>0</v>
      </c>
      <c r="I69" s="55">
        <f>G69*H69*$V$26*$X$26/1000</f>
        <v>0</v>
      </c>
      <c r="J69" s="27" t="e">
        <f t="shared" ref="J69:J70" si="45">L69*1000/K69</f>
        <v>#DIV/0!</v>
      </c>
      <c r="K69" s="28"/>
      <c r="L69" s="54"/>
      <c r="M69" s="66">
        <v>75.989999999999995</v>
      </c>
      <c r="N69" s="31">
        <f>K69</f>
        <v>0</v>
      </c>
      <c r="O69" s="55">
        <f>M69*N69*$V$26*$X$26/1000</f>
        <v>0</v>
      </c>
      <c r="P69" s="245">
        <v>162950</v>
      </c>
      <c r="Q69" s="28"/>
      <c r="R69" s="31">
        <f t="shared" si="25"/>
        <v>0</v>
      </c>
    </row>
    <row r="70" spans="1:18">
      <c r="A70" s="21"/>
      <c r="B70" s="183"/>
      <c r="C70" s="30" t="s">
        <v>205</v>
      </c>
      <c r="D70" s="27" t="e">
        <f t="shared" si="44"/>
        <v>#DIV/0!</v>
      </c>
      <c r="E70" s="28"/>
      <c r="F70" s="54"/>
      <c r="G70" s="66">
        <v>306.64999999999998</v>
      </c>
      <c r="H70" s="31">
        <f>E70</f>
        <v>0</v>
      </c>
      <c r="I70" s="55">
        <f>G70*H70*$V$26*$X$26/1000</f>
        <v>0</v>
      </c>
      <c r="J70" s="27" t="e">
        <f t="shared" si="45"/>
        <v>#DIV/0!</v>
      </c>
      <c r="K70" s="28"/>
      <c r="L70" s="54"/>
      <c r="M70" s="66">
        <v>306.64999999999998</v>
      </c>
      <c r="N70" s="31">
        <f>K70</f>
        <v>0</v>
      </c>
      <c r="O70" s="55">
        <f>M70*N70*$V$26*$X$26/1000</f>
        <v>0</v>
      </c>
      <c r="P70" s="245">
        <v>2306523</v>
      </c>
      <c r="Q70" s="28"/>
      <c r="R70" s="31">
        <f t="shared" si="25"/>
        <v>0</v>
      </c>
    </row>
    <row r="71" spans="1:18" ht="48">
      <c r="A71" s="21"/>
      <c r="B71" s="183" t="s">
        <v>96</v>
      </c>
      <c r="C71" s="30" t="s">
        <v>33</v>
      </c>
      <c r="D71" s="35"/>
      <c r="E71" s="88">
        <f>H71</f>
        <v>0</v>
      </c>
      <c r="F71" s="89">
        <f>SUM(F72:F78)</f>
        <v>0</v>
      </c>
      <c r="G71" s="66"/>
      <c r="H71" s="46">
        <f>SUM(H72:H86)</f>
        <v>0</v>
      </c>
      <c r="I71" s="46">
        <f>SUM(I72:I86)</f>
        <v>0</v>
      </c>
      <c r="J71" s="35"/>
      <c r="K71" s="88">
        <f>N71</f>
        <v>0</v>
      </c>
      <c r="L71" s="89">
        <f>SUM(L72:L78)</f>
        <v>0</v>
      </c>
      <c r="M71" s="66"/>
      <c r="N71" s="46">
        <f>SUM(N72:N78)</f>
        <v>0</v>
      </c>
      <c r="O71" s="46">
        <f>SUM(O72:O86)</f>
        <v>0</v>
      </c>
      <c r="P71" s="249"/>
      <c r="Q71" s="46">
        <f>SUM(Q72:Q78)</f>
        <v>0</v>
      </c>
      <c r="R71" s="46">
        <f>SUM(R72:R86)</f>
        <v>0</v>
      </c>
    </row>
    <row r="72" spans="1:18">
      <c r="A72" s="21"/>
      <c r="B72" s="183"/>
      <c r="C72" s="30" t="s">
        <v>55</v>
      </c>
      <c r="D72" s="27" t="e">
        <f t="shared" ref="D72:D77" si="46">F72*1000/E72</f>
        <v>#DIV/0!</v>
      </c>
      <c r="E72" s="43">
        <f>'Факт ПС за 3 года'!J59*'Факт ПС за 3 года'!K59</f>
        <v>0</v>
      </c>
      <c r="F72" s="54"/>
      <c r="G72" s="66">
        <v>1213.32</v>
      </c>
      <c r="H72" s="31">
        <f>E72</f>
        <v>0</v>
      </c>
      <c r="I72" s="55">
        <f>G72*H72*$V$26*$X$26/1000</f>
        <v>0</v>
      </c>
      <c r="J72" s="27" t="e">
        <f t="shared" ref="J72:J77" si="47">L72*1000/K72</f>
        <v>#DIV/0!</v>
      </c>
      <c r="K72" s="43">
        <f>'Факт ПС за 3 года'!M59*'Факт ПС за 3 года'!N59</f>
        <v>0</v>
      </c>
      <c r="L72" s="54"/>
      <c r="M72" s="66">
        <v>1213.32</v>
      </c>
      <c r="N72" s="31">
        <f>K72</f>
        <v>0</v>
      </c>
      <c r="O72" s="55">
        <f>M72*N72*$V$26*$X$26/1000</f>
        <v>0</v>
      </c>
      <c r="P72" s="245">
        <v>5909</v>
      </c>
      <c r="Q72" s="43">
        <f>'Факт ПС за 3 года'!R59</f>
        <v>0</v>
      </c>
      <c r="R72" s="31">
        <f>P72*Q72/1000</f>
        <v>0</v>
      </c>
    </row>
    <row r="73" spans="1:18">
      <c r="A73" s="21"/>
      <c r="B73" s="183"/>
      <c r="C73" s="30" t="s">
        <v>206</v>
      </c>
      <c r="D73" s="27" t="e">
        <f t="shared" si="46"/>
        <v>#DIV/0!</v>
      </c>
      <c r="E73" s="43">
        <f>'Факт ПС за 3 года'!J60*'Факт ПС за 3 года'!K60</f>
        <v>0</v>
      </c>
      <c r="F73" s="54"/>
      <c r="G73" s="66">
        <v>776.94</v>
      </c>
      <c r="H73" s="31">
        <f t="shared" ref="H73:H86" si="48">E73</f>
        <v>0</v>
      </c>
      <c r="I73" s="55">
        <f t="shared" ref="I73:I87" si="49">G73*H73*$V$26*$X$26/1000</f>
        <v>0</v>
      </c>
      <c r="J73" s="27" t="e">
        <f t="shared" si="47"/>
        <v>#DIV/0!</v>
      </c>
      <c r="K73" s="43">
        <f>'Факт ПС за 3 года'!M60*'Факт ПС за 3 года'!N60</f>
        <v>0</v>
      </c>
      <c r="L73" s="54"/>
      <c r="M73" s="66">
        <v>776.94</v>
      </c>
      <c r="N73" s="31">
        <f t="shared" ref="N73:N86" si="50">K73</f>
        <v>0</v>
      </c>
      <c r="O73" s="55">
        <f t="shared" ref="O73:O87" si="51">M73*N73*$V$26*$X$26/1000</f>
        <v>0</v>
      </c>
      <c r="P73" s="245">
        <v>3693</v>
      </c>
      <c r="Q73" s="43">
        <f>'Факт ПС за 3 года'!R60</f>
        <v>0</v>
      </c>
      <c r="R73" s="31">
        <f t="shared" ref="R73:R87" si="52">P73*Q73/1000</f>
        <v>0</v>
      </c>
    </row>
    <row r="74" spans="1:18">
      <c r="A74" s="21"/>
      <c r="B74" s="183"/>
      <c r="C74" s="30" t="s">
        <v>54</v>
      </c>
      <c r="D74" s="27" t="e">
        <f t="shared" si="46"/>
        <v>#DIV/0!</v>
      </c>
      <c r="E74" s="43">
        <f>'Факт ПС за 3 года'!J61*'Факт ПС за 3 года'!K61</f>
        <v>0</v>
      </c>
      <c r="F74" s="54"/>
      <c r="G74" s="66">
        <v>672.8</v>
      </c>
      <c r="H74" s="31">
        <f t="shared" si="48"/>
        <v>0</v>
      </c>
      <c r="I74" s="55">
        <f t="shared" si="49"/>
        <v>0</v>
      </c>
      <c r="J74" s="27" t="e">
        <f t="shared" si="47"/>
        <v>#DIV/0!</v>
      </c>
      <c r="K74" s="43">
        <f>'Факт ПС за 3 года'!M61*'Факт ПС за 3 года'!N61</f>
        <v>0</v>
      </c>
      <c r="L74" s="54"/>
      <c r="M74" s="66">
        <v>672.8</v>
      </c>
      <c r="N74" s="31">
        <f t="shared" si="50"/>
        <v>0</v>
      </c>
      <c r="O74" s="55">
        <f t="shared" si="51"/>
        <v>0</v>
      </c>
      <c r="P74" s="245">
        <v>3198</v>
      </c>
      <c r="Q74" s="43">
        <f>'Факт ПС за 3 года'!R61</f>
        <v>0</v>
      </c>
      <c r="R74" s="31">
        <f t="shared" si="52"/>
        <v>0</v>
      </c>
    </row>
    <row r="75" spans="1:18">
      <c r="A75" s="21"/>
      <c r="B75" s="183"/>
      <c r="C75" s="30" t="s">
        <v>45</v>
      </c>
      <c r="D75" s="27" t="e">
        <f t="shared" si="46"/>
        <v>#DIV/0!</v>
      </c>
      <c r="E75" s="43">
        <f>'Факт ПС за 3 года'!J62*'Факт ПС за 3 года'!K62</f>
        <v>0</v>
      </c>
      <c r="F75" s="54"/>
      <c r="G75" s="66">
        <v>583.61</v>
      </c>
      <c r="H75" s="31">
        <f t="shared" si="48"/>
        <v>0</v>
      </c>
      <c r="I75" s="55">
        <f t="shared" si="49"/>
        <v>0</v>
      </c>
      <c r="J75" s="27" t="e">
        <f t="shared" si="47"/>
        <v>#DIV/0!</v>
      </c>
      <c r="K75" s="43">
        <f>'Факт ПС за 3 года'!M62*'Факт ПС за 3 года'!N62</f>
        <v>0</v>
      </c>
      <c r="L75" s="54"/>
      <c r="M75" s="66">
        <v>583.61</v>
      </c>
      <c r="N75" s="31">
        <f t="shared" si="50"/>
        <v>0</v>
      </c>
      <c r="O75" s="55">
        <f t="shared" si="51"/>
        <v>0</v>
      </c>
      <c r="P75" s="245">
        <v>2619</v>
      </c>
      <c r="Q75" s="43">
        <f>'Факт ПС за 3 года'!R62</f>
        <v>0</v>
      </c>
      <c r="R75" s="31">
        <f t="shared" si="52"/>
        <v>0</v>
      </c>
    </row>
    <row r="76" spans="1:18">
      <c r="A76" s="21"/>
      <c r="B76" s="183"/>
      <c r="C76" s="30" t="s">
        <v>46</v>
      </c>
      <c r="D76" s="27" t="e">
        <f t="shared" si="46"/>
        <v>#DIV/0!</v>
      </c>
      <c r="E76" s="43">
        <f>'Факт ПС за 3 года'!J63*'Факт ПС за 3 года'!K63</f>
        <v>0</v>
      </c>
      <c r="F76" s="54"/>
      <c r="G76" s="66">
        <v>338.67</v>
      </c>
      <c r="H76" s="31">
        <f t="shared" si="48"/>
        <v>0</v>
      </c>
      <c r="I76" s="55">
        <f t="shared" si="49"/>
        <v>0</v>
      </c>
      <c r="J76" s="27" t="e">
        <f t="shared" si="47"/>
        <v>#DIV/0!</v>
      </c>
      <c r="K76" s="43">
        <f>'Факт ПС за 3 года'!M63*'Факт ПС за 3 года'!N63</f>
        <v>0</v>
      </c>
      <c r="L76" s="54"/>
      <c r="M76" s="66">
        <v>338.67</v>
      </c>
      <c r="N76" s="31">
        <f t="shared" si="50"/>
        <v>0</v>
      </c>
      <c r="O76" s="55">
        <f t="shared" si="51"/>
        <v>0</v>
      </c>
      <c r="P76" s="245">
        <v>2229</v>
      </c>
      <c r="Q76" s="43">
        <f>'Факт ПС за 3 года'!R63</f>
        <v>0</v>
      </c>
      <c r="R76" s="31">
        <f t="shared" si="52"/>
        <v>0</v>
      </c>
    </row>
    <row r="77" spans="1:18">
      <c r="A77" s="21"/>
      <c r="B77" s="183"/>
      <c r="C77" s="30" t="s">
        <v>47</v>
      </c>
      <c r="D77" s="27" t="e">
        <f t="shared" si="46"/>
        <v>#DIV/0!</v>
      </c>
      <c r="E77" s="43">
        <f>'Факт ПС за 3 года'!J64*'Факт ПС за 3 года'!K64</f>
        <v>0</v>
      </c>
      <c r="F77" s="54"/>
      <c r="G77" s="66">
        <v>321.12</v>
      </c>
      <c r="H77" s="31">
        <f t="shared" si="48"/>
        <v>0</v>
      </c>
      <c r="I77" s="55">
        <f t="shared" si="49"/>
        <v>0</v>
      </c>
      <c r="J77" s="27" t="e">
        <f t="shared" si="47"/>
        <v>#DIV/0!</v>
      </c>
      <c r="K77" s="43">
        <f>'Факт ПС за 3 года'!M64*'Факт ПС за 3 года'!N64</f>
        <v>0</v>
      </c>
      <c r="L77" s="54"/>
      <c r="M77" s="66">
        <v>321.12</v>
      </c>
      <c r="N77" s="31">
        <f t="shared" si="50"/>
        <v>0</v>
      </c>
      <c r="O77" s="55">
        <f t="shared" si="51"/>
        <v>0</v>
      </c>
      <c r="P77" s="245">
        <v>2699</v>
      </c>
      <c r="Q77" s="43">
        <f>'Факт ПС за 3 года'!R64</f>
        <v>0</v>
      </c>
      <c r="R77" s="31">
        <f t="shared" si="52"/>
        <v>0</v>
      </c>
    </row>
    <row r="78" spans="1:18">
      <c r="A78" s="21"/>
      <c r="B78" s="183"/>
      <c r="C78" s="39" t="s">
        <v>207</v>
      </c>
      <c r="D78" s="27" t="e">
        <f>F78*1000/E78</f>
        <v>#DIV/0!</v>
      </c>
      <c r="E78" s="43">
        <f>'Факт ПС за 3 года'!J65*'Факт ПС за 3 года'!K65</f>
        <v>0</v>
      </c>
      <c r="F78" s="54"/>
      <c r="G78" s="66">
        <v>214.76</v>
      </c>
      <c r="H78" s="31">
        <f t="shared" si="48"/>
        <v>0</v>
      </c>
      <c r="I78" s="55">
        <f t="shared" si="49"/>
        <v>0</v>
      </c>
      <c r="J78" s="27" t="e">
        <f>L78*1000/K78</f>
        <v>#DIV/0!</v>
      </c>
      <c r="K78" s="43">
        <f>'Факт ПС за 3 года'!M65*'Факт ПС за 3 года'!N65</f>
        <v>0</v>
      </c>
      <c r="L78" s="54"/>
      <c r="M78" s="66">
        <v>214.76</v>
      </c>
      <c r="N78" s="31">
        <f t="shared" si="50"/>
        <v>0</v>
      </c>
      <c r="O78" s="55">
        <f t="shared" si="51"/>
        <v>0</v>
      </c>
      <c r="P78" s="245">
        <v>2270</v>
      </c>
      <c r="Q78" s="43">
        <f>'Факт ПС за 3 года'!R65</f>
        <v>0</v>
      </c>
      <c r="R78" s="31">
        <f t="shared" si="52"/>
        <v>0</v>
      </c>
    </row>
    <row r="79" spans="1:18">
      <c r="A79" s="21"/>
      <c r="B79" s="41"/>
      <c r="C79" s="39" t="s">
        <v>208</v>
      </c>
      <c r="D79" s="27" t="e">
        <f t="shared" ref="D79:D87" si="53">F79*1000/E79</f>
        <v>#DIV/0!</v>
      </c>
      <c r="E79" s="43">
        <f>'Факт ПС за 3 года'!J66*'Факт ПС за 3 года'!K66</f>
        <v>0</v>
      </c>
      <c r="F79" s="54"/>
      <c r="G79" s="66">
        <v>205.1</v>
      </c>
      <c r="H79" s="31">
        <f t="shared" si="48"/>
        <v>0</v>
      </c>
      <c r="I79" s="55">
        <f t="shared" si="49"/>
        <v>0</v>
      </c>
      <c r="J79" s="27" t="e">
        <f t="shared" ref="J79:J87" si="54">L79*1000/K79</f>
        <v>#DIV/0!</v>
      </c>
      <c r="K79" s="43">
        <f>'Факт ПС за 3 года'!M66*'Факт ПС за 3 года'!N66</f>
        <v>0</v>
      </c>
      <c r="L79" s="54"/>
      <c r="M79" s="66">
        <v>205.1</v>
      </c>
      <c r="N79" s="31">
        <f t="shared" si="50"/>
        <v>0</v>
      </c>
      <c r="O79" s="55">
        <f t="shared" si="51"/>
        <v>0</v>
      </c>
      <c r="P79" s="245">
        <v>1664</v>
      </c>
      <c r="Q79" s="43">
        <f>'Факт ПС за 3 года'!R66</f>
        <v>0</v>
      </c>
      <c r="R79" s="31">
        <f t="shared" si="52"/>
        <v>0</v>
      </c>
    </row>
    <row r="80" spans="1:18">
      <c r="A80" s="21"/>
      <c r="B80" s="41"/>
      <c r="C80" s="39" t="s">
        <v>59</v>
      </c>
      <c r="D80" s="27" t="e">
        <f t="shared" si="53"/>
        <v>#DIV/0!</v>
      </c>
      <c r="E80" s="43">
        <f>'Факт ПС за 3 года'!J67*'Факт ПС за 3 года'!K67</f>
        <v>0</v>
      </c>
      <c r="F80" s="54"/>
      <c r="G80" s="66">
        <v>151.63999999999999</v>
      </c>
      <c r="H80" s="31">
        <f t="shared" si="48"/>
        <v>0</v>
      </c>
      <c r="I80" s="55">
        <f t="shared" si="49"/>
        <v>0</v>
      </c>
      <c r="J80" s="27" t="e">
        <f>L80*1000/K80</f>
        <v>#DIV/0!</v>
      </c>
      <c r="K80" s="43">
        <f>'Факт ПС за 3 года'!M67*'Факт ПС за 3 года'!N67</f>
        <v>0</v>
      </c>
      <c r="L80" s="54"/>
      <c r="M80" s="66">
        <v>151.63999999999999</v>
      </c>
      <c r="N80" s="31">
        <f t="shared" si="50"/>
        <v>0</v>
      </c>
      <c r="O80" s="55">
        <f t="shared" si="51"/>
        <v>0</v>
      </c>
      <c r="P80" s="245">
        <v>1424</v>
      </c>
      <c r="Q80" s="43">
        <f>'Факт ПС за 3 года'!R67</f>
        <v>0</v>
      </c>
      <c r="R80" s="31">
        <f t="shared" si="52"/>
        <v>0</v>
      </c>
    </row>
    <row r="81" spans="1:18">
      <c r="A81" s="21"/>
      <c r="B81" s="41"/>
      <c r="C81" s="39" t="s">
        <v>60</v>
      </c>
      <c r="D81" s="27" t="e">
        <f t="shared" si="53"/>
        <v>#DIV/0!</v>
      </c>
      <c r="E81" s="43">
        <f>'Факт ПС за 3 года'!J68*'Факт ПС за 3 года'!K68</f>
        <v>0</v>
      </c>
      <c r="F81" s="54"/>
      <c r="G81" s="66">
        <v>2109.42</v>
      </c>
      <c r="H81" s="31">
        <f t="shared" si="48"/>
        <v>0</v>
      </c>
      <c r="I81" s="55">
        <f t="shared" si="49"/>
        <v>0</v>
      </c>
      <c r="J81" s="27" t="e">
        <f t="shared" si="54"/>
        <v>#DIV/0!</v>
      </c>
      <c r="K81" s="43">
        <f>'Факт ПС за 3 года'!M68*'Факт ПС за 3 года'!N68</f>
        <v>0</v>
      </c>
      <c r="L81" s="54"/>
      <c r="M81" s="66">
        <v>2109.42</v>
      </c>
      <c r="N81" s="31">
        <f t="shared" si="50"/>
        <v>0</v>
      </c>
      <c r="O81" s="55">
        <f t="shared" si="51"/>
        <v>0</v>
      </c>
      <c r="P81" s="245">
        <v>19447</v>
      </c>
      <c r="Q81" s="43">
        <f>'Факт ПС за 3 года'!R68</f>
        <v>0</v>
      </c>
      <c r="R81" s="31">
        <f t="shared" si="52"/>
        <v>0</v>
      </c>
    </row>
    <row r="82" spans="1:18">
      <c r="A82" s="21"/>
      <c r="B82" s="41"/>
      <c r="C82" s="39" t="s">
        <v>61</v>
      </c>
      <c r="D82" s="27" t="e">
        <f t="shared" si="53"/>
        <v>#DIV/0!</v>
      </c>
      <c r="E82" s="43">
        <f>'Факт ПС за 3 года'!J69*'Факт ПС за 3 года'!K69</f>
        <v>0</v>
      </c>
      <c r="F82" s="54"/>
      <c r="G82" s="66">
        <v>1930.99</v>
      </c>
      <c r="H82" s="31">
        <f>E82</f>
        <v>0</v>
      </c>
      <c r="I82" s="55">
        <f t="shared" si="49"/>
        <v>0</v>
      </c>
      <c r="J82" s="27" t="e">
        <f t="shared" si="54"/>
        <v>#DIV/0!</v>
      </c>
      <c r="K82" s="43">
        <f>'Факт ПС за 3 года'!M69*'Факт ПС за 3 года'!N69</f>
        <v>0</v>
      </c>
      <c r="L82" s="54"/>
      <c r="M82" s="66">
        <v>1930.99</v>
      </c>
      <c r="N82" s="31">
        <f>K82</f>
        <v>0</v>
      </c>
      <c r="O82" s="55">
        <f t="shared" si="51"/>
        <v>0</v>
      </c>
      <c r="P82" s="245">
        <v>28916</v>
      </c>
      <c r="Q82" s="43">
        <f>'Факт ПС за 3 года'!R69</f>
        <v>0</v>
      </c>
      <c r="R82" s="31">
        <f t="shared" si="52"/>
        <v>0</v>
      </c>
    </row>
    <row r="83" spans="1:18">
      <c r="A83" s="21"/>
      <c r="B83" s="41"/>
      <c r="C83" s="39" t="s">
        <v>209</v>
      </c>
      <c r="D83" s="27" t="e">
        <f t="shared" si="53"/>
        <v>#DIV/0!</v>
      </c>
      <c r="E83" s="43">
        <f>'Факт ПС за 3 года'!J70*'Факт ПС за 3 года'!K70</f>
        <v>0</v>
      </c>
      <c r="F83" s="54"/>
      <c r="G83" s="66">
        <v>1843.97</v>
      </c>
      <c r="H83" s="31">
        <f t="shared" si="48"/>
        <v>0</v>
      </c>
      <c r="I83" s="55">
        <f t="shared" si="49"/>
        <v>0</v>
      </c>
      <c r="J83" s="27" t="e">
        <f t="shared" si="54"/>
        <v>#DIV/0!</v>
      </c>
      <c r="K83" s="43">
        <f>'Факт ПС за 3 года'!M70*'Факт ПС за 3 года'!N70</f>
        <v>0</v>
      </c>
      <c r="L83" s="54"/>
      <c r="M83" s="66">
        <v>1843.97</v>
      </c>
      <c r="N83" s="31">
        <f t="shared" si="50"/>
        <v>0</v>
      </c>
      <c r="O83" s="55">
        <f t="shared" si="51"/>
        <v>0</v>
      </c>
      <c r="P83" s="245">
        <v>24675</v>
      </c>
      <c r="Q83" s="43">
        <f>'Факт ПС за 3 года'!R70</f>
        <v>0</v>
      </c>
      <c r="R83" s="31">
        <f t="shared" si="52"/>
        <v>0</v>
      </c>
    </row>
    <row r="84" spans="1:18">
      <c r="A84" s="21"/>
      <c r="B84" s="41"/>
      <c r="C84" s="39" t="s">
        <v>210</v>
      </c>
      <c r="D84" s="27" t="e">
        <f t="shared" si="53"/>
        <v>#DIV/0!</v>
      </c>
      <c r="E84" s="43">
        <f>'Факт ПС за 3 года'!J71*'Факт ПС за 3 года'!K71</f>
        <v>0</v>
      </c>
      <c r="F84" s="54"/>
      <c r="G84" s="66">
        <v>988.3</v>
      </c>
      <c r="H84" s="31">
        <f t="shared" si="48"/>
        <v>0</v>
      </c>
      <c r="I84" s="55">
        <f t="shared" si="49"/>
        <v>0</v>
      </c>
      <c r="J84" s="27" t="e">
        <f t="shared" si="54"/>
        <v>#DIV/0!</v>
      </c>
      <c r="K84" s="43">
        <f>'Факт ПС за 3 года'!M71*'Факт ПС за 3 года'!N71</f>
        <v>0</v>
      </c>
      <c r="L84" s="54"/>
      <c r="M84" s="66">
        <v>988.3</v>
      </c>
      <c r="N84" s="31">
        <f t="shared" si="50"/>
        <v>0</v>
      </c>
      <c r="O84" s="55">
        <f t="shared" si="51"/>
        <v>0</v>
      </c>
      <c r="P84" s="245">
        <v>14788</v>
      </c>
      <c r="Q84" s="43">
        <f>'Факт ПС за 3 года'!R71</f>
        <v>0</v>
      </c>
      <c r="R84" s="31">
        <f t="shared" si="52"/>
        <v>0</v>
      </c>
    </row>
    <row r="85" spans="1:18">
      <c r="A85" s="21"/>
      <c r="B85" s="41"/>
      <c r="C85" s="39" t="s">
        <v>211</v>
      </c>
      <c r="D85" s="27" t="e">
        <f t="shared" si="53"/>
        <v>#DIV/0!</v>
      </c>
      <c r="E85" s="43">
        <f>'Факт ПС за 3 года'!J72*'Факт ПС за 3 года'!K72</f>
        <v>0</v>
      </c>
      <c r="F85" s="54"/>
      <c r="G85" s="66">
        <v>601.14</v>
      </c>
      <c r="H85" s="31">
        <f t="shared" si="48"/>
        <v>0</v>
      </c>
      <c r="I85" s="55">
        <f t="shared" si="49"/>
        <v>0</v>
      </c>
      <c r="J85" s="27" t="e">
        <f t="shared" si="54"/>
        <v>#DIV/0!</v>
      </c>
      <c r="K85" s="43">
        <f>'Факт ПС за 3 года'!M72*'Факт ПС за 3 года'!N72</f>
        <v>0</v>
      </c>
      <c r="L85" s="54"/>
      <c r="M85" s="66">
        <v>601.14</v>
      </c>
      <c r="N85" s="31">
        <f t="shared" si="50"/>
        <v>0</v>
      </c>
      <c r="O85" s="55">
        <f t="shared" si="51"/>
        <v>0</v>
      </c>
      <c r="P85" s="245">
        <v>12201</v>
      </c>
      <c r="Q85" s="43">
        <f>'Факт ПС за 3 года'!R72</f>
        <v>0</v>
      </c>
      <c r="R85" s="31">
        <f t="shared" si="52"/>
        <v>0</v>
      </c>
    </row>
    <row r="86" spans="1:18">
      <c r="A86" s="21"/>
      <c r="B86" s="41"/>
      <c r="C86" s="39" t="s">
        <v>212</v>
      </c>
      <c r="D86" s="27" t="e">
        <f t="shared" si="53"/>
        <v>#DIV/0!</v>
      </c>
      <c r="E86" s="43">
        <f>'Факт ПС за 3 года'!J73*'Факт ПС за 3 года'!K73</f>
        <v>0</v>
      </c>
      <c r="F86" s="54"/>
      <c r="G86" s="66">
        <v>480.27</v>
      </c>
      <c r="H86" s="31">
        <f t="shared" si="48"/>
        <v>0</v>
      </c>
      <c r="I86" s="55">
        <f t="shared" si="49"/>
        <v>0</v>
      </c>
      <c r="J86" s="27" t="e">
        <f t="shared" si="54"/>
        <v>#DIV/0!</v>
      </c>
      <c r="K86" s="43">
        <f>'Факт ПС за 3 года'!M73*'Факт ПС за 3 года'!N73</f>
        <v>0</v>
      </c>
      <c r="L86" s="54"/>
      <c r="M86" s="66">
        <v>480.27</v>
      </c>
      <c r="N86" s="31">
        <f t="shared" si="50"/>
        <v>0</v>
      </c>
      <c r="O86" s="55">
        <f t="shared" si="51"/>
        <v>0</v>
      </c>
      <c r="P86" s="245">
        <v>8140</v>
      </c>
      <c r="Q86" s="43">
        <f>'Факт ПС за 3 года'!R73</f>
        <v>0</v>
      </c>
      <c r="R86" s="31">
        <f t="shared" si="52"/>
        <v>0</v>
      </c>
    </row>
    <row r="87" spans="1:18" ht="24">
      <c r="A87" s="21"/>
      <c r="B87" s="183" t="s">
        <v>97</v>
      </c>
      <c r="C87" s="39" t="s">
        <v>35</v>
      </c>
      <c r="D87" s="27" t="e">
        <f t="shared" si="53"/>
        <v>#DIV/0!</v>
      </c>
      <c r="E87" s="28"/>
      <c r="F87" s="54"/>
      <c r="G87" s="65"/>
      <c r="H87" s="31">
        <f>'Факт ПС за 3 года'!J38*'Факт ПС за 3 года'!K38</f>
        <v>0</v>
      </c>
      <c r="I87" s="55">
        <f t="shared" si="49"/>
        <v>0</v>
      </c>
      <c r="J87" s="27" t="e">
        <f t="shared" si="54"/>
        <v>#DIV/0!</v>
      </c>
      <c r="K87" s="28"/>
      <c r="L87" s="54"/>
      <c r="M87" s="65"/>
      <c r="N87" s="31">
        <f>'Факт ПС за 3 года'!P38*'Факт ПС за 3 года'!Q38</f>
        <v>0</v>
      </c>
      <c r="O87" s="55">
        <f t="shared" si="51"/>
        <v>0</v>
      </c>
      <c r="P87" s="245"/>
      <c r="Q87" s="28"/>
      <c r="R87" s="31">
        <f t="shared" si="52"/>
        <v>0</v>
      </c>
    </row>
    <row r="88" spans="1:18" ht="26.25" customHeight="1">
      <c r="A88" s="21"/>
      <c r="B88" s="25" t="s">
        <v>5</v>
      </c>
      <c r="C88" s="44" t="s">
        <v>36</v>
      </c>
      <c r="D88" s="35"/>
      <c r="E88" s="35"/>
      <c r="F88" s="68">
        <f>SUM(F90,F97,F106,F109,F125,F127,F134,F143,F146,F162)</f>
        <v>0</v>
      </c>
      <c r="G88" s="69"/>
      <c r="H88" s="35"/>
      <c r="I88" s="68">
        <f>SUM(I90,I97,I106,I109,I125,I127,I134,I143,I146,I162)</f>
        <v>0</v>
      </c>
      <c r="J88" s="222"/>
      <c r="K88" s="222"/>
      <c r="L88" s="68">
        <f>SUM(L90,L97,L106,L109,L125,L127,L134,L143,L146,L162)</f>
        <v>0</v>
      </c>
      <c r="M88" s="223"/>
      <c r="N88" s="222"/>
      <c r="O88" s="68">
        <f>SUM(O90,O97,O106,O109,O125,O127,O134,O143,O146,O162)</f>
        <v>0</v>
      </c>
      <c r="P88" s="60"/>
      <c r="Q88" s="222"/>
      <c r="R88" s="68">
        <f>SUM(R90,R97,R106,R109,R125,R127,R134,R143,R146,R162)</f>
        <v>0</v>
      </c>
    </row>
    <row r="89" spans="1:18" ht="12" customHeight="1">
      <c r="A89" s="21"/>
      <c r="B89" s="294" t="s">
        <v>43</v>
      </c>
      <c r="C89" s="295"/>
      <c r="D89" s="33"/>
      <c r="E89" s="33"/>
      <c r="F89" s="56"/>
      <c r="G89" s="67"/>
      <c r="H89" s="33"/>
      <c r="I89" s="56"/>
      <c r="J89" s="33"/>
      <c r="K89" s="33"/>
      <c r="L89" s="56"/>
      <c r="M89" s="67"/>
      <c r="N89" s="33"/>
      <c r="O89" s="56"/>
      <c r="P89" s="33"/>
      <c r="Q89" s="33"/>
      <c r="R89" s="34"/>
    </row>
    <row r="90" spans="1:18">
      <c r="A90" s="21"/>
      <c r="B90" s="183" t="s">
        <v>27</v>
      </c>
      <c r="C90" s="30" t="s">
        <v>28</v>
      </c>
      <c r="D90" s="35"/>
      <c r="E90" s="88">
        <f>SUM(E91:E96)</f>
        <v>0</v>
      </c>
      <c r="F90" s="88">
        <f>SUM(F91:F96)</f>
        <v>0</v>
      </c>
      <c r="G90" s="66"/>
      <c r="H90" s="88">
        <f>SUM(H91:H96)</f>
        <v>0</v>
      </c>
      <c r="I90" s="68">
        <f>SUM(I91:I96)</f>
        <v>0</v>
      </c>
      <c r="J90" s="35"/>
      <c r="K90" s="88">
        <f>SUM(K91:K96)</f>
        <v>0</v>
      </c>
      <c r="L90" s="88">
        <f>SUM(L91:L96)</f>
        <v>0</v>
      </c>
      <c r="M90" s="66"/>
      <c r="N90" s="88">
        <f>SUM(N91:N96)</f>
        <v>0</v>
      </c>
      <c r="O90" s="68">
        <f>SUM(O91:O96)</f>
        <v>0</v>
      </c>
      <c r="P90" s="58"/>
      <c r="Q90" s="88">
        <f>SUM(Q91:Q96)</f>
        <v>0</v>
      </c>
      <c r="R90" s="88">
        <f>SUM(R91:R96)</f>
        <v>0</v>
      </c>
    </row>
    <row r="91" spans="1:18">
      <c r="A91" s="21"/>
      <c r="B91" s="183"/>
      <c r="C91" s="30" t="s">
        <v>190</v>
      </c>
      <c r="D91" s="27" t="e">
        <f>F91*1000/E91</f>
        <v>#DIV/0!</v>
      </c>
      <c r="E91" s="43">
        <f>E16</f>
        <v>0</v>
      </c>
      <c r="F91" s="54"/>
      <c r="G91" s="66">
        <f>G16/2</f>
        <v>80070.14</v>
      </c>
      <c r="H91" s="31">
        <f>E91</f>
        <v>0</v>
      </c>
      <c r="I91" s="55">
        <f>G91*H91*$U$24*$W$24/1000</f>
        <v>0</v>
      </c>
      <c r="J91" s="27" t="e">
        <f>L91*1000/K91</f>
        <v>#DIV/0!</v>
      </c>
      <c r="K91" s="43">
        <f>K16</f>
        <v>0</v>
      </c>
      <c r="L91" s="54"/>
      <c r="M91" s="250">
        <v>0</v>
      </c>
      <c r="N91" s="31">
        <f>K91</f>
        <v>0</v>
      </c>
      <c r="O91" s="55">
        <f>M91*N91*$U$24*$W$24/1000</f>
        <v>0</v>
      </c>
      <c r="P91" s="245">
        <v>0</v>
      </c>
      <c r="Q91" s="43">
        <f>Q16</f>
        <v>0</v>
      </c>
      <c r="R91" s="31">
        <f>P91*Q91/1000</f>
        <v>0</v>
      </c>
    </row>
    <row r="92" spans="1:18">
      <c r="A92" s="21"/>
      <c r="B92" s="183"/>
      <c r="C92" s="30" t="s">
        <v>191</v>
      </c>
      <c r="D92" s="27" t="e">
        <f t="shared" ref="D92:D96" si="55">F92*1000/E92</f>
        <v>#DIV/0!</v>
      </c>
      <c r="E92" s="43">
        <f t="shared" ref="E92:E96" si="56">E17</f>
        <v>0</v>
      </c>
      <c r="F92" s="54"/>
      <c r="G92" s="66">
        <f t="shared" ref="G92:G95" si="57">G17/2</f>
        <v>115224.08</v>
      </c>
      <c r="H92" s="31">
        <f t="shared" ref="H92:H96" si="58">E92</f>
        <v>0</v>
      </c>
      <c r="I92" s="55">
        <f t="shared" ref="I92:I96" si="59">G92*H92*$U$24*$W$24/1000</f>
        <v>0</v>
      </c>
      <c r="J92" s="27" t="e">
        <f t="shared" ref="J92:J96" si="60">L92*1000/K92</f>
        <v>#DIV/0!</v>
      </c>
      <c r="K92" s="43">
        <f t="shared" ref="K92:K96" si="61">K17</f>
        <v>0</v>
      </c>
      <c r="L92" s="54"/>
      <c r="M92" s="250">
        <v>0</v>
      </c>
      <c r="N92" s="31">
        <f t="shared" ref="N92:N96" si="62">K92</f>
        <v>0</v>
      </c>
      <c r="O92" s="55">
        <f t="shared" ref="O92:O96" si="63">M92*N92*$U$24*$W$24/1000</f>
        <v>0</v>
      </c>
      <c r="P92" s="245">
        <v>0</v>
      </c>
      <c r="Q92" s="43">
        <f t="shared" ref="Q92:Q96" si="64">Q17</f>
        <v>0</v>
      </c>
      <c r="R92" s="31">
        <f>P92*Q92/1000</f>
        <v>0</v>
      </c>
    </row>
    <row r="93" spans="1:18">
      <c r="A93" s="21"/>
      <c r="B93" s="183"/>
      <c r="C93" s="30" t="s">
        <v>192</v>
      </c>
      <c r="D93" s="27" t="e">
        <f t="shared" si="55"/>
        <v>#DIV/0!</v>
      </c>
      <c r="E93" s="43">
        <f t="shared" si="56"/>
        <v>0</v>
      </c>
      <c r="F93" s="54"/>
      <c r="G93" s="66">
        <f t="shared" si="57"/>
        <v>115165.955</v>
      </c>
      <c r="H93" s="31">
        <f t="shared" si="58"/>
        <v>0</v>
      </c>
      <c r="I93" s="55">
        <f t="shared" si="59"/>
        <v>0</v>
      </c>
      <c r="J93" s="27" t="e">
        <f t="shared" si="60"/>
        <v>#DIV/0!</v>
      </c>
      <c r="K93" s="43">
        <f>K18</f>
        <v>0</v>
      </c>
      <c r="L93" s="54"/>
      <c r="M93" s="250">
        <v>0</v>
      </c>
      <c r="N93" s="31">
        <f t="shared" si="62"/>
        <v>0</v>
      </c>
      <c r="O93" s="55">
        <f t="shared" si="63"/>
        <v>0</v>
      </c>
      <c r="P93" s="245">
        <v>0</v>
      </c>
      <c r="Q93" s="43">
        <f>Q18</f>
        <v>0</v>
      </c>
      <c r="R93" s="31">
        <f t="shared" ref="R93:R96" si="65">P93*Q93/1000</f>
        <v>0</v>
      </c>
    </row>
    <row r="94" spans="1:18">
      <c r="A94" s="21"/>
      <c r="B94" s="183"/>
      <c r="C94" s="30" t="s">
        <v>193</v>
      </c>
      <c r="D94" s="27" t="e">
        <f t="shared" si="55"/>
        <v>#DIV/0!</v>
      </c>
      <c r="E94" s="43">
        <f t="shared" si="56"/>
        <v>0</v>
      </c>
      <c r="F94" s="54"/>
      <c r="G94" s="66">
        <f t="shared" si="57"/>
        <v>140664.875</v>
      </c>
      <c r="H94" s="31">
        <f t="shared" si="58"/>
        <v>0</v>
      </c>
      <c r="I94" s="55">
        <f t="shared" si="59"/>
        <v>0</v>
      </c>
      <c r="J94" s="27" t="e">
        <f t="shared" si="60"/>
        <v>#DIV/0!</v>
      </c>
      <c r="K94" s="43">
        <f t="shared" si="61"/>
        <v>0</v>
      </c>
      <c r="L94" s="54"/>
      <c r="M94" s="250">
        <v>0</v>
      </c>
      <c r="N94" s="31">
        <f t="shared" si="62"/>
        <v>0</v>
      </c>
      <c r="O94" s="55">
        <f t="shared" si="63"/>
        <v>0</v>
      </c>
      <c r="P94" s="245">
        <v>0</v>
      </c>
      <c r="Q94" s="43">
        <f t="shared" si="64"/>
        <v>0</v>
      </c>
      <c r="R94" s="31">
        <f t="shared" si="65"/>
        <v>0</v>
      </c>
    </row>
    <row r="95" spans="1:18">
      <c r="A95" s="21"/>
      <c r="B95" s="183"/>
      <c r="C95" s="30" t="s">
        <v>194</v>
      </c>
      <c r="D95" s="27" t="e">
        <f t="shared" si="55"/>
        <v>#DIV/0!</v>
      </c>
      <c r="E95" s="43">
        <f t="shared" si="56"/>
        <v>0</v>
      </c>
      <c r="F95" s="54"/>
      <c r="G95" s="66">
        <f t="shared" si="57"/>
        <v>153718.44500000001</v>
      </c>
      <c r="H95" s="31">
        <f t="shared" si="58"/>
        <v>0</v>
      </c>
      <c r="I95" s="55">
        <f t="shared" si="59"/>
        <v>0</v>
      </c>
      <c r="J95" s="27" t="e">
        <f t="shared" si="60"/>
        <v>#DIV/0!</v>
      </c>
      <c r="K95" s="43">
        <f t="shared" si="61"/>
        <v>0</v>
      </c>
      <c r="L95" s="54"/>
      <c r="M95" s="250">
        <v>0</v>
      </c>
      <c r="N95" s="31">
        <f t="shared" si="62"/>
        <v>0</v>
      </c>
      <c r="O95" s="55">
        <f t="shared" si="63"/>
        <v>0</v>
      </c>
      <c r="P95" s="245">
        <v>0</v>
      </c>
      <c r="Q95" s="43">
        <f t="shared" si="64"/>
        <v>0</v>
      </c>
      <c r="R95" s="31">
        <f t="shared" si="65"/>
        <v>0</v>
      </c>
    </row>
    <row r="96" spans="1:18">
      <c r="A96" s="21"/>
      <c r="B96" s="183"/>
      <c r="C96" s="30" t="s">
        <v>195</v>
      </c>
      <c r="D96" s="27" t="e">
        <f t="shared" si="55"/>
        <v>#DIV/0!</v>
      </c>
      <c r="E96" s="43">
        <f t="shared" si="56"/>
        <v>0</v>
      </c>
      <c r="F96" s="54"/>
      <c r="G96" s="66">
        <f>G21/2</f>
        <v>163378.27499999999</v>
      </c>
      <c r="H96" s="31">
        <f t="shared" si="58"/>
        <v>0</v>
      </c>
      <c r="I96" s="55">
        <f t="shared" si="59"/>
        <v>0</v>
      </c>
      <c r="J96" s="27" t="e">
        <f t="shared" si="60"/>
        <v>#DIV/0!</v>
      </c>
      <c r="K96" s="43">
        <f t="shared" si="61"/>
        <v>0</v>
      </c>
      <c r="L96" s="54"/>
      <c r="M96" s="250">
        <v>0</v>
      </c>
      <c r="N96" s="31">
        <f t="shared" si="62"/>
        <v>0</v>
      </c>
      <c r="O96" s="55">
        <f t="shared" si="63"/>
        <v>0</v>
      </c>
      <c r="P96" s="245">
        <v>0</v>
      </c>
      <c r="Q96" s="43">
        <f t="shared" si="64"/>
        <v>0</v>
      </c>
      <c r="R96" s="31">
        <f t="shared" si="65"/>
        <v>0</v>
      </c>
    </row>
    <row r="97" spans="1:25" ht="52.5" customHeight="1">
      <c r="A97" s="21"/>
      <c r="B97" s="183" t="s">
        <v>29</v>
      </c>
      <c r="C97" s="30" t="s">
        <v>30</v>
      </c>
      <c r="D97" s="49"/>
      <c r="E97" s="88">
        <f>SUM(E98:E105)</f>
        <v>0</v>
      </c>
      <c r="F97" s="88">
        <f>SUM(F98:F105)</f>
        <v>0</v>
      </c>
      <c r="G97" s="66"/>
      <c r="H97" s="88">
        <f>SUM(H98:H105)</f>
        <v>0</v>
      </c>
      <c r="I97" s="68">
        <f>SUM(I98:I105)</f>
        <v>0</v>
      </c>
      <c r="J97" s="49"/>
      <c r="K97" s="88">
        <f>SUM(K98:K105)</f>
        <v>0</v>
      </c>
      <c r="L97" s="88">
        <f>SUM(L98:L105)</f>
        <v>0</v>
      </c>
      <c r="M97" s="250"/>
      <c r="N97" s="88">
        <f>SUM(N98:N105)</f>
        <v>0</v>
      </c>
      <c r="O97" s="68">
        <f>SUM(O98:O105)</f>
        <v>0</v>
      </c>
      <c r="P97" s="249"/>
      <c r="Q97" s="88">
        <f>SUM(Q98:Q105)</f>
        <v>0</v>
      </c>
      <c r="R97" s="46">
        <f>SUM(R98:R105)</f>
        <v>0</v>
      </c>
      <c r="T97" s="216"/>
      <c r="U97" s="216"/>
      <c r="V97" s="216"/>
      <c r="W97" s="216"/>
      <c r="X97" s="216"/>
      <c r="Y97" s="216"/>
    </row>
    <row r="98" spans="1:25">
      <c r="A98" s="21"/>
      <c r="B98" s="183"/>
      <c r="C98" s="30" t="s">
        <v>196</v>
      </c>
      <c r="D98" s="27" t="e">
        <f t="shared" ref="D98:D125" si="66">F98*1000/E98</f>
        <v>#DIV/0!</v>
      </c>
      <c r="E98" s="43">
        <f>E23</f>
        <v>0</v>
      </c>
      <c r="F98" s="54"/>
      <c r="G98" s="66">
        <f>G23/2</f>
        <v>174806.3</v>
      </c>
      <c r="H98" s="31">
        <f>E98</f>
        <v>0</v>
      </c>
      <c r="I98" s="55">
        <f>G98*H98*$U$25*$W$25/1000</f>
        <v>0</v>
      </c>
      <c r="J98" s="27" t="e">
        <f t="shared" ref="J98" si="67">L98*1000/K98</f>
        <v>#DIV/0!</v>
      </c>
      <c r="K98" s="43">
        <f>K23</f>
        <v>0</v>
      </c>
      <c r="L98" s="54"/>
      <c r="M98" s="250">
        <v>0</v>
      </c>
      <c r="N98" s="31">
        <f>K98</f>
        <v>0</v>
      </c>
      <c r="O98" s="55">
        <f>M98*N98*$U$25*$W$25/1000</f>
        <v>0</v>
      </c>
      <c r="P98" s="245">
        <v>0</v>
      </c>
      <c r="Q98" s="43">
        <f>Q23</f>
        <v>0</v>
      </c>
      <c r="R98" s="31">
        <f>P98*Q98/1000</f>
        <v>0</v>
      </c>
      <c r="S98" s="36"/>
      <c r="T98" s="214"/>
      <c r="U98" s="214"/>
      <c r="V98" s="215"/>
      <c r="W98" s="214"/>
      <c r="X98" s="214"/>
      <c r="Y98" s="216"/>
    </row>
    <row r="99" spans="1:25">
      <c r="A99" s="21"/>
      <c r="B99" s="183"/>
      <c r="C99" s="30" t="s">
        <v>197</v>
      </c>
      <c r="D99" s="27" t="e">
        <f>F99*1000/E99</f>
        <v>#DIV/0!</v>
      </c>
      <c r="E99" s="43">
        <f t="shared" ref="E99:E105" si="68">E24</f>
        <v>0</v>
      </c>
      <c r="F99" s="54"/>
      <c r="G99" s="66">
        <f t="shared" ref="G99:G105" si="69">G24/2</f>
        <v>169787.74</v>
      </c>
      <c r="H99" s="31">
        <f t="shared" ref="H99:H105" si="70">E99</f>
        <v>0</v>
      </c>
      <c r="I99" s="55">
        <f t="shared" ref="I99:I105" si="71">G99*H99*$U$25*$W$25/1000</f>
        <v>0</v>
      </c>
      <c r="J99" s="27" t="e">
        <f>L99*1000/K99</f>
        <v>#DIV/0!</v>
      </c>
      <c r="K99" s="43">
        <f t="shared" ref="K99:K105" si="72">K24</f>
        <v>0</v>
      </c>
      <c r="L99" s="54"/>
      <c r="M99" s="250">
        <v>0</v>
      </c>
      <c r="N99" s="31">
        <f t="shared" ref="N99:N105" si="73">K99</f>
        <v>0</v>
      </c>
      <c r="O99" s="55">
        <f t="shared" ref="O99:O105" si="74">M99*N99*$U$25*$W$25/1000</f>
        <v>0</v>
      </c>
      <c r="P99" s="245">
        <v>0</v>
      </c>
      <c r="Q99" s="43">
        <f t="shared" ref="Q99:Q105" si="75">Q24</f>
        <v>0</v>
      </c>
      <c r="R99" s="31">
        <f t="shared" ref="R99:R108" si="76">P99*Q99/1000</f>
        <v>0</v>
      </c>
      <c r="T99" s="214"/>
      <c r="U99" s="214"/>
      <c r="V99" s="214"/>
      <c r="W99" s="214"/>
      <c r="X99" s="214"/>
      <c r="Y99" s="216"/>
    </row>
    <row r="100" spans="1:25">
      <c r="A100" s="21"/>
      <c r="B100" s="183"/>
      <c r="C100" s="30" t="s">
        <v>198</v>
      </c>
      <c r="D100" s="27" t="e">
        <f t="shared" ref="D100:D108" si="77">F100*1000/E100</f>
        <v>#DIV/0!</v>
      </c>
      <c r="E100" s="43">
        <f t="shared" si="68"/>
        <v>0</v>
      </c>
      <c r="F100" s="54"/>
      <c r="G100" s="66">
        <f t="shared" si="69"/>
        <v>201462.39999999999</v>
      </c>
      <c r="H100" s="31">
        <f t="shared" si="70"/>
        <v>0</v>
      </c>
      <c r="I100" s="55">
        <f t="shared" si="71"/>
        <v>0</v>
      </c>
      <c r="J100" s="27" t="e">
        <f t="shared" ref="J100:J105" si="78">L100*1000/K100</f>
        <v>#DIV/0!</v>
      </c>
      <c r="K100" s="43">
        <f t="shared" si="72"/>
        <v>0</v>
      </c>
      <c r="L100" s="54"/>
      <c r="M100" s="250">
        <v>0</v>
      </c>
      <c r="N100" s="31">
        <f t="shared" si="73"/>
        <v>0</v>
      </c>
      <c r="O100" s="55">
        <f t="shared" si="74"/>
        <v>0</v>
      </c>
      <c r="P100" s="245">
        <v>0</v>
      </c>
      <c r="Q100" s="43">
        <f t="shared" si="75"/>
        <v>0</v>
      </c>
      <c r="R100" s="31">
        <f t="shared" si="76"/>
        <v>0</v>
      </c>
      <c r="T100" s="214"/>
      <c r="U100" s="214"/>
      <c r="V100" s="214"/>
      <c r="W100" s="214"/>
      <c r="X100" s="214"/>
      <c r="Y100" s="216"/>
    </row>
    <row r="101" spans="1:25">
      <c r="A101" s="21"/>
      <c r="B101" s="183"/>
      <c r="C101" s="30" t="s">
        <v>199</v>
      </c>
      <c r="D101" s="27" t="e">
        <f t="shared" si="77"/>
        <v>#DIV/0!</v>
      </c>
      <c r="E101" s="43">
        <f t="shared" si="68"/>
        <v>0</v>
      </c>
      <c r="F101" s="54"/>
      <c r="G101" s="66">
        <f t="shared" si="69"/>
        <v>255979.68</v>
      </c>
      <c r="H101" s="31">
        <f>E101</f>
        <v>0</v>
      </c>
      <c r="I101" s="55">
        <f t="shared" si="71"/>
        <v>0</v>
      </c>
      <c r="J101" s="27" t="e">
        <f t="shared" si="78"/>
        <v>#DIV/0!</v>
      </c>
      <c r="K101" s="43">
        <f t="shared" si="72"/>
        <v>0</v>
      </c>
      <c r="L101" s="54"/>
      <c r="M101" s="250">
        <v>0</v>
      </c>
      <c r="N101" s="31">
        <f>K101</f>
        <v>0</v>
      </c>
      <c r="O101" s="55">
        <f t="shared" si="74"/>
        <v>0</v>
      </c>
      <c r="P101" s="245">
        <v>0</v>
      </c>
      <c r="Q101" s="43">
        <f t="shared" si="75"/>
        <v>0</v>
      </c>
      <c r="R101" s="31">
        <f t="shared" si="76"/>
        <v>0</v>
      </c>
      <c r="T101" s="214"/>
      <c r="U101" s="214"/>
      <c r="V101" s="214"/>
      <c r="W101" s="214"/>
      <c r="X101" s="214"/>
      <c r="Y101" s="216"/>
    </row>
    <row r="102" spans="1:25">
      <c r="A102" s="21"/>
      <c r="B102" s="183"/>
      <c r="C102" s="30" t="s">
        <v>200</v>
      </c>
      <c r="D102" s="27" t="e">
        <f t="shared" si="77"/>
        <v>#DIV/0!</v>
      </c>
      <c r="E102" s="43">
        <f t="shared" si="68"/>
        <v>0</v>
      </c>
      <c r="F102" s="54"/>
      <c r="G102" s="66">
        <f t="shared" si="69"/>
        <v>228504.97</v>
      </c>
      <c r="H102" s="31">
        <f t="shared" si="70"/>
        <v>0</v>
      </c>
      <c r="I102" s="55">
        <f t="shared" si="71"/>
        <v>0</v>
      </c>
      <c r="J102" s="27" t="e">
        <f t="shared" si="78"/>
        <v>#DIV/0!</v>
      </c>
      <c r="K102" s="43">
        <f t="shared" si="72"/>
        <v>0</v>
      </c>
      <c r="L102" s="54"/>
      <c r="M102" s="250">
        <v>0</v>
      </c>
      <c r="N102" s="31">
        <f t="shared" si="73"/>
        <v>0</v>
      </c>
      <c r="O102" s="55">
        <f t="shared" si="74"/>
        <v>0</v>
      </c>
      <c r="P102" s="245">
        <v>0</v>
      </c>
      <c r="Q102" s="43">
        <f t="shared" si="75"/>
        <v>0</v>
      </c>
      <c r="R102" s="31">
        <f t="shared" si="76"/>
        <v>0</v>
      </c>
      <c r="S102" s="36"/>
      <c r="T102" s="214"/>
      <c r="U102" s="214"/>
      <c r="V102" s="214"/>
      <c r="W102" s="214"/>
      <c r="X102" s="214"/>
      <c r="Y102" s="216"/>
    </row>
    <row r="103" spans="1:25">
      <c r="A103" s="21"/>
      <c r="B103" s="183"/>
      <c r="C103" s="30" t="s">
        <v>201</v>
      </c>
      <c r="D103" s="27" t="e">
        <f t="shared" si="77"/>
        <v>#DIV/0!</v>
      </c>
      <c r="E103" s="43">
        <f t="shared" si="68"/>
        <v>0</v>
      </c>
      <c r="F103" s="54"/>
      <c r="G103" s="66">
        <f t="shared" si="69"/>
        <v>246069.19</v>
      </c>
      <c r="H103" s="31">
        <f>E103</f>
        <v>0</v>
      </c>
      <c r="I103" s="55">
        <f t="shared" si="71"/>
        <v>0</v>
      </c>
      <c r="J103" s="27" t="e">
        <f t="shared" si="78"/>
        <v>#DIV/0!</v>
      </c>
      <c r="K103" s="43">
        <f t="shared" si="72"/>
        <v>0</v>
      </c>
      <c r="L103" s="54"/>
      <c r="M103" s="250">
        <v>0</v>
      </c>
      <c r="N103" s="31">
        <f>K103</f>
        <v>0</v>
      </c>
      <c r="O103" s="55">
        <f t="shared" si="74"/>
        <v>0</v>
      </c>
      <c r="P103" s="245">
        <v>0</v>
      </c>
      <c r="Q103" s="43">
        <f t="shared" si="75"/>
        <v>0</v>
      </c>
      <c r="R103" s="31">
        <f t="shared" si="76"/>
        <v>0</v>
      </c>
      <c r="S103" s="36"/>
      <c r="T103" s="216"/>
      <c r="U103" s="216"/>
      <c r="V103" s="216"/>
      <c r="W103" s="216"/>
      <c r="X103" s="216"/>
      <c r="Y103" s="216"/>
    </row>
    <row r="104" spans="1:25">
      <c r="A104" s="21"/>
      <c r="B104" s="183"/>
      <c r="C104" s="30" t="s">
        <v>202</v>
      </c>
      <c r="D104" s="27" t="e">
        <f t="shared" si="77"/>
        <v>#DIV/0!</v>
      </c>
      <c r="E104" s="43">
        <f t="shared" si="68"/>
        <v>0</v>
      </c>
      <c r="F104" s="54"/>
      <c r="G104" s="66">
        <f t="shared" si="69"/>
        <v>307576.18</v>
      </c>
      <c r="H104" s="31">
        <f t="shared" si="70"/>
        <v>0</v>
      </c>
      <c r="I104" s="55">
        <f t="shared" si="71"/>
        <v>0</v>
      </c>
      <c r="J104" s="27" t="e">
        <f t="shared" si="78"/>
        <v>#DIV/0!</v>
      </c>
      <c r="K104" s="43">
        <f t="shared" si="72"/>
        <v>0</v>
      </c>
      <c r="L104" s="54"/>
      <c r="M104" s="250">
        <v>0</v>
      </c>
      <c r="N104" s="31">
        <f t="shared" si="73"/>
        <v>0</v>
      </c>
      <c r="O104" s="55">
        <f t="shared" si="74"/>
        <v>0</v>
      </c>
      <c r="P104" s="245">
        <v>0</v>
      </c>
      <c r="Q104" s="43">
        <f t="shared" si="75"/>
        <v>0</v>
      </c>
      <c r="R104" s="31">
        <f t="shared" si="76"/>
        <v>0</v>
      </c>
      <c r="S104" s="36"/>
      <c r="T104" s="216"/>
      <c r="U104" s="216"/>
      <c r="V104" s="216"/>
      <c r="W104" s="216"/>
      <c r="X104" s="216"/>
      <c r="Y104" s="216"/>
    </row>
    <row r="105" spans="1:25" ht="14.25" customHeight="1">
      <c r="A105" s="21"/>
      <c r="B105" s="183"/>
      <c r="C105" s="30" t="s">
        <v>203</v>
      </c>
      <c r="D105" s="27" t="e">
        <f t="shared" si="77"/>
        <v>#DIV/0!</v>
      </c>
      <c r="E105" s="43">
        <f t="shared" si="68"/>
        <v>0</v>
      </c>
      <c r="F105" s="54"/>
      <c r="G105" s="66">
        <f t="shared" si="69"/>
        <v>390808.67</v>
      </c>
      <c r="H105" s="31">
        <f t="shared" si="70"/>
        <v>0</v>
      </c>
      <c r="I105" s="55">
        <f t="shared" si="71"/>
        <v>0</v>
      </c>
      <c r="J105" s="27" t="e">
        <f t="shared" si="78"/>
        <v>#DIV/0!</v>
      </c>
      <c r="K105" s="43">
        <f t="shared" si="72"/>
        <v>0</v>
      </c>
      <c r="L105" s="54"/>
      <c r="M105" s="250">
        <v>0</v>
      </c>
      <c r="N105" s="31">
        <f t="shared" si="73"/>
        <v>0</v>
      </c>
      <c r="O105" s="55">
        <f t="shared" si="74"/>
        <v>0</v>
      </c>
      <c r="P105" s="245">
        <v>0</v>
      </c>
      <c r="Q105" s="43">
        <f t="shared" si="75"/>
        <v>0</v>
      </c>
      <c r="R105" s="31">
        <f t="shared" si="76"/>
        <v>0</v>
      </c>
      <c r="S105" s="36"/>
      <c r="T105" s="216"/>
      <c r="U105" s="216"/>
      <c r="V105" s="216"/>
      <c r="W105" s="216"/>
      <c r="X105" s="216"/>
      <c r="Y105" s="216"/>
    </row>
    <row r="106" spans="1:25" ht="18.75" customHeight="1">
      <c r="A106" s="21"/>
      <c r="B106" s="183" t="s">
        <v>31</v>
      </c>
      <c r="C106" s="30" t="s">
        <v>44</v>
      </c>
      <c r="D106" s="49"/>
      <c r="E106" s="88">
        <f>SUM(E107:E108)</f>
        <v>0</v>
      </c>
      <c r="F106" s="88">
        <f>SUM(F107:F108)</f>
        <v>0</v>
      </c>
      <c r="H106" s="88">
        <f>SUM(H107:H108)</f>
        <v>0</v>
      </c>
      <c r="I106" s="88">
        <f>SUM(I107:I108)</f>
        <v>0</v>
      </c>
      <c r="J106" s="49"/>
      <c r="K106" s="88">
        <f>SUM(K107:K108)</f>
        <v>0</v>
      </c>
      <c r="L106" s="88">
        <f>SUM(L107:L108)</f>
        <v>0</v>
      </c>
      <c r="M106" s="251"/>
      <c r="N106" s="88">
        <f>SUM(N107:N108)</f>
        <v>0</v>
      </c>
      <c r="O106" s="88">
        <f>SUM(O107:O108)</f>
        <v>0</v>
      </c>
      <c r="P106" s="247"/>
      <c r="Q106" s="88">
        <f>SUM(Q107:Q108)</f>
        <v>0</v>
      </c>
      <c r="R106" s="88">
        <f>SUM(R107:R108)</f>
        <v>0</v>
      </c>
      <c r="T106" s="216"/>
      <c r="U106" s="216"/>
      <c r="V106" s="216"/>
      <c r="W106" s="216"/>
      <c r="X106" s="216"/>
      <c r="Y106" s="216"/>
    </row>
    <row r="107" spans="1:25">
      <c r="A107" s="21"/>
      <c r="B107" s="183"/>
      <c r="C107" s="30" t="s">
        <v>227</v>
      </c>
      <c r="D107" s="27" t="e">
        <f t="shared" si="77"/>
        <v>#DIV/0!</v>
      </c>
      <c r="E107" s="28"/>
      <c r="F107" s="54"/>
      <c r="G107" s="66">
        <f>G32/2</f>
        <v>37.994999999999997</v>
      </c>
      <c r="H107" s="31">
        <f>E107</f>
        <v>0</v>
      </c>
      <c r="I107" s="55">
        <f>G107*H107*$V$26*$X$26/1000</f>
        <v>0</v>
      </c>
      <c r="J107" s="27" t="e">
        <f t="shared" ref="J107:J108" si="79">L107*1000/K107</f>
        <v>#DIV/0!</v>
      </c>
      <c r="K107" s="28"/>
      <c r="L107" s="54"/>
      <c r="M107" s="250">
        <v>0</v>
      </c>
      <c r="N107" s="31">
        <f>K107</f>
        <v>0</v>
      </c>
      <c r="O107" s="55">
        <f>M107*N107*$V$26*$X$26/1000</f>
        <v>0</v>
      </c>
      <c r="P107" s="245">
        <v>0</v>
      </c>
      <c r="Q107" s="28"/>
      <c r="R107" s="31">
        <f>P107*Q107/1000</f>
        <v>0</v>
      </c>
      <c r="S107" s="36"/>
      <c r="T107" s="214"/>
      <c r="U107" s="214"/>
      <c r="V107" s="215"/>
      <c r="W107" s="214"/>
      <c r="X107" s="214"/>
    </row>
    <row r="108" spans="1:25">
      <c r="A108" s="21"/>
      <c r="B108" s="183"/>
      <c r="C108" s="30" t="s">
        <v>205</v>
      </c>
      <c r="D108" s="27" t="e">
        <f t="shared" si="77"/>
        <v>#DIV/0!</v>
      </c>
      <c r="E108" s="28"/>
      <c r="F108" s="54"/>
      <c r="G108" s="66">
        <f>G33/2</f>
        <v>153.32499999999999</v>
      </c>
      <c r="H108" s="31">
        <f>E108</f>
        <v>0</v>
      </c>
      <c r="I108" s="55">
        <f>G108*H108*$V$26*$X$26/1000</f>
        <v>0</v>
      </c>
      <c r="J108" s="27" t="e">
        <f t="shared" si="79"/>
        <v>#DIV/0!</v>
      </c>
      <c r="K108" s="28"/>
      <c r="L108" s="54"/>
      <c r="M108" s="250">
        <v>0</v>
      </c>
      <c r="N108" s="31">
        <f>K108</f>
        <v>0</v>
      </c>
      <c r="O108" s="55">
        <f>M108*N108*$V$26*$X$26/1000</f>
        <v>0</v>
      </c>
      <c r="P108" s="245">
        <v>0</v>
      </c>
      <c r="Q108" s="28"/>
      <c r="R108" s="31">
        <f t="shared" si="76"/>
        <v>0</v>
      </c>
      <c r="T108" s="214"/>
      <c r="U108" s="217"/>
      <c r="V108" s="217"/>
      <c r="W108" s="217"/>
      <c r="X108" s="217"/>
    </row>
    <row r="109" spans="1:25" ht="48">
      <c r="A109" s="21"/>
      <c r="B109" s="183" t="s">
        <v>32</v>
      </c>
      <c r="C109" s="30" t="s">
        <v>33</v>
      </c>
      <c r="D109" s="35"/>
      <c r="E109" s="88">
        <f>H109</f>
        <v>0</v>
      </c>
      <c r="F109" s="89">
        <f>SUM(F110:F116)</f>
        <v>0</v>
      </c>
      <c r="G109" s="66"/>
      <c r="H109" s="46">
        <f>SUM(H110:H116)</f>
        <v>0</v>
      </c>
      <c r="I109" s="68">
        <f>SUM(I110:I124)</f>
        <v>0</v>
      </c>
      <c r="J109" s="35"/>
      <c r="K109" s="88">
        <f>N109</f>
        <v>0</v>
      </c>
      <c r="L109" s="89">
        <f>SUM(L110:L116)</f>
        <v>0</v>
      </c>
      <c r="M109" s="250"/>
      <c r="N109" s="46">
        <f>SUM(N110:N116)</f>
        <v>0</v>
      </c>
      <c r="O109" s="68">
        <f>SUM(O110:O124)</f>
        <v>0</v>
      </c>
      <c r="P109" s="248"/>
      <c r="Q109" s="88">
        <f>T109</f>
        <v>0</v>
      </c>
      <c r="R109" s="68">
        <f>SUM(R110:R124)</f>
        <v>0</v>
      </c>
      <c r="T109" s="214"/>
      <c r="U109" s="217"/>
      <c r="V109" s="217"/>
      <c r="W109" s="217"/>
      <c r="X109" s="217"/>
    </row>
    <row r="110" spans="1:25">
      <c r="A110" s="21"/>
      <c r="B110" s="183"/>
      <c r="C110" s="30" t="s">
        <v>55</v>
      </c>
      <c r="D110" s="27" t="e">
        <f t="shared" si="66"/>
        <v>#DIV/0!</v>
      </c>
      <c r="E110" s="43">
        <f>E35</f>
        <v>0</v>
      </c>
      <c r="F110" s="54"/>
      <c r="G110" s="66">
        <f>G35/2</f>
        <v>606.66</v>
      </c>
      <c r="H110" s="31">
        <f>E110</f>
        <v>0</v>
      </c>
      <c r="I110" s="55">
        <f>G110*H110*$V$26*$X$26/1000</f>
        <v>0</v>
      </c>
      <c r="J110" s="27" t="e">
        <f t="shared" ref="J110:J111" si="80">L110*1000/K110</f>
        <v>#DIV/0!</v>
      </c>
      <c r="K110" s="43">
        <f>K35</f>
        <v>0</v>
      </c>
      <c r="L110" s="54"/>
      <c r="M110" s="250">
        <v>0</v>
      </c>
      <c r="N110" s="31">
        <f>K110</f>
        <v>0</v>
      </c>
      <c r="O110" s="55">
        <f>M110*N110*$V$26*$X$26/1000</f>
        <v>0</v>
      </c>
      <c r="P110" s="245">
        <v>0</v>
      </c>
      <c r="Q110" s="43">
        <f>Q35</f>
        <v>0</v>
      </c>
      <c r="R110" s="31">
        <f>P110*Q110/1000</f>
        <v>0</v>
      </c>
      <c r="T110" s="214"/>
      <c r="U110" s="217"/>
      <c r="V110" s="217"/>
      <c r="W110" s="217"/>
      <c r="X110" s="217"/>
    </row>
    <row r="111" spans="1:25">
      <c r="A111" s="21"/>
      <c r="B111" s="183"/>
      <c r="C111" s="30" t="s">
        <v>206</v>
      </c>
      <c r="D111" s="27" t="e">
        <f t="shared" si="66"/>
        <v>#DIV/0!</v>
      </c>
      <c r="E111" s="43">
        <f t="shared" ref="E111:E124" si="81">E36</f>
        <v>0</v>
      </c>
      <c r="F111" s="54"/>
      <c r="G111" s="66">
        <f t="shared" ref="G111:G124" si="82">G36/2</f>
        <v>388.47</v>
      </c>
      <c r="H111" s="31">
        <f t="shared" ref="H111:H124" si="83">E111</f>
        <v>0</v>
      </c>
      <c r="I111" s="55">
        <f t="shared" ref="I111:I125" si="84">G111*H111*$V$26*$X$26/1000</f>
        <v>0</v>
      </c>
      <c r="J111" s="27" t="e">
        <f t="shared" si="80"/>
        <v>#DIV/0!</v>
      </c>
      <c r="K111" s="43">
        <f t="shared" ref="K111:K124" si="85">K36</f>
        <v>0</v>
      </c>
      <c r="L111" s="54"/>
      <c r="M111" s="250">
        <v>0</v>
      </c>
      <c r="N111" s="31">
        <f t="shared" ref="N111:N124" si="86">K111</f>
        <v>0</v>
      </c>
      <c r="O111" s="55">
        <f t="shared" ref="O111:O125" si="87">M111*N111*$V$26*$X$26/1000</f>
        <v>0</v>
      </c>
      <c r="P111" s="245">
        <v>0</v>
      </c>
      <c r="Q111" s="43">
        <f t="shared" ref="Q111:Q124" si="88">Q36</f>
        <v>0</v>
      </c>
      <c r="R111" s="31">
        <f t="shared" ref="R111:R124" si="89">P111*Q111/1000</f>
        <v>0</v>
      </c>
      <c r="T111" s="216"/>
      <c r="U111" s="216"/>
      <c r="V111" s="216"/>
      <c r="W111" s="216"/>
      <c r="X111" s="216"/>
    </row>
    <row r="112" spans="1:25">
      <c r="A112" s="21"/>
      <c r="B112" s="183"/>
      <c r="C112" s="30" t="s">
        <v>54</v>
      </c>
      <c r="D112" s="27" t="e">
        <f t="shared" si="66"/>
        <v>#DIV/0!</v>
      </c>
      <c r="E112" s="43">
        <f t="shared" si="81"/>
        <v>0</v>
      </c>
      <c r="F112" s="54"/>
      <c r="G112" s="66">
        <f t="shared" si="82"/>
        <v>336.4</v>
      </c>
      <c r="H112" s="31">
        <f t="shared" si="83"/>
        <v>0</v>
      </c>
      <c r="I112" s="55">
        <f t="shared" si="84"/>
        <v>0</v>
      </c>
      <c r="J112" s="27" t="e">
        <f>L112*1000/K112</f>
        <v>#DIV/0!</v>
      </c>
      <c r="K112" s="43">
        <f t="shared" si="85"/>
        <v>0</v>
      </c>
      <c r="L112" s="54"/>
      <c r="M112" s="250">
        <v>0</v>
      </c>
      <c r="N112" s="31">
        <f t="shared" si="86"/>
        <v>0</v>
      </c>
      <c r="O112" s="55">
        <f t="shared" si="87"/>
        <v>0</v>
      </c>
      <c r="P112" s="245">
        <v>0</v>
      </c>
      <c r="Q112" s="43">
        <f t="shared" si="88"/>
        <v>0</v>
      </c>
      <c r="R112" s="31">
        <f t="shared" si="89"/>
        <v>0</v>
      </c>
    </row>
    <row r="113" spans="1:18">
      <c r="A113" s="21"/>
      <c r="B113" s="183"/>
      <c r="C113" s="30" t="s">
        <v>45</v>
      </c>
      <c r="D113" s="27" t="e">
        <f t="shared" si="66"/>
        <v>#DIV/0!</v>
      </c>
      <c r="E113" s="43">
        <f t="shared" si="81"/>
        <v>0</v>
      </c>
      <c r="F113" s="54"/>
      <c r="G113" s="66">
        <f t="shared" si="82"/>
        <v>291.80500000000001</v>
      </c>
      <c r="H113" s="31">
        <f t="shared" si="83"/>
        <v>0</v>
      </c>
      <c r="I113" s="55">
        <f t="shared" si="84"/>
        <v>0</v>
      </c>
      <c r="J113" s="27" t="e">
        <f t="shared" ref="J113:J124" si="90">L113*1000/K113</f>
        <v>#DIV/0!</v>
      </c>
      <c r="K113" s="43">
        <f t="shared" si="85"/>
        <v>0</v>
      </c>
      <c r="L113" s="54"/>
      <c r="M113" s="250">
        <v>0</v>
      </c>
      <c r="N113" s="31">
        <f t="shared" si="86"/>
        <v>0</v>
      </c>
      <c r="O113" s="55">
        <f t="shared" si="87"/>
        <v>0</v>
      </c>
      <c r="P113" s="245">
        <v>0</v>
      </c>
      <c r="Q113" s="43">
        <f t="shared" si="88"/>
        <v>0</v>
      </c>
      <c r="R113" s="31">
        <f t="shared" si="89"/>
        <v>0</v>
      </c>
    </row>
    <row r="114" spans="1:18">
      <c r="A114" s="21"/>
      <c r="B114" s="183"/>
      <c r="C114" s="30" t="s">
        <v>46</v>
      </c>
      <c r="D114" s="27" t="e">
        <f t="shared" si="66"/>
        <v>#DIV/0!</v>
      </c>
      <c r="E114" s="43">
        <f t="shared" si="81"/>
        <v>0</v>
      </c>
      <c r="F114" s="54"/>
      <c r="G114" s="66">
        <f t="shared" si="82"/>
        <v>169.33500000000001</v>
      </c>
      <c r="H114" s="31">
        <f t="shared" si="83"/>
        <v>0</v>
      </c>
      <c r="I114" s="55">
        <f t="shared" si="84"/>
        <v>0</v>
      </c>
      <c r="J114" s="27" t="e">
        <f t="shared" si="90"/>
        <v>#DIV/0!</v>
      </c>
      <c r="K114" s="43">
        <f t="shared" si="85"/>
        <v>0</v>
      </c>
      <c r="L114" s="54"/>
      <c r="M114" s="250">
        <v>0</v>
      </c>
      <c r="N114" s="31">
        <f t="shared" si="86"/>
        <v>0</v>
      </c>
      <c r="O114" s="55">
        <f t="shared" si="87"/>
        <v>0</v>
      </c>
      <c r="P114" s="245">
        <v>0</v>
      </c>
      <c r="Q114" s="43">
        <f t="shared" si="88"/>
        <v>0</v>
      </c>
      <c r="R114" s="31">
        <f t="shared" si="89"/>
        <v>0</v>
      </c>
    </row>
    <row r="115" spans="1:18">
      <c r="A115" s="21"/>
      <c r="B115" s="183"/>
      <c r="C115" s="30" t="s">
        <v>47</v>
      </c>
      <c r="D115" s="27" t="e">
        <f>F115*1000/E115</f>
        <v>#DIV/0!</v>
      </c>
      <c r="E115" s="43">
        <f t="shared" si="81"/>
        <v>0</v>
      </c>
      <c r="F115" s="54"/>
      <c r="G115" s="66">
        <f t="shared" si="82"/>
        <v>160.56</v>
      </c>
      <c r="H115" s="31">
        <f t="shared" si="83"/>
        <v>0</v>
      </c>
      <c r="I115" s="55">
        <f t="shared" si="84"/>
        <v>0</v>
      </c>
      <c r="J115" s="27" t="e">
        <f t="shared" si="90"/>
        <v>#DIV/0!</v>
      </c>
      <c r="K115" s="43">
        <f t="shared" si="85"/>
        <v>0</v>
      </c>
      <c r="L115" s="54"/>
      <c r="M115" s="250">
        <v>0</v>
      </c>
      <c r="N115" s="31">
        <f t="shared" si="86"/>
        <v>0</v>
      </c>
      <c r="O115" s="55">
        <f t="shared" si="87"/>
        <v>0</v>
      </c>
      <c r="P115" s="245">
        <v>0</v>
      </c>
      <c r="Q115" s="43">
        <f t="shared" si="88"/>
        <v>0</v>
      </c>
      <c r="R115" s="31">
        <f t="shared" si="89"/>
        <v>0</v>
      </c>
    </row>
    <row r="116" spans="1:18">
      <c r="A116" s="21"/>
      <c r="B116" s="183"/>
      <c r="C116" s="39" t="s">
        <v>207</v>
      </c>
      <c r="D116" s="27" t="e">
        <f t="shared" ref="D116:D124" si="91">F116*1000/E116</f>
        <v>#DIV/0!</v>
      </c>
      <c r="E116" s="43">
        <f t="shared" si="81"/>
        <v>0</v>
      </c>
      <c r="F116" s="54"/>
      <c r="G116" s="66">
        <f t="shared" si="82"/>
        <v>107.38</v>
      </c>
      <c r="H116" s="31">
        <f t="shared" si="83"/>
        <v>0</v>
      </c>
      <c r="I116" s="55">
        <f t="shared" si="84"/>
        <v>0</v>
      </c>
      <c r="J116" s="27" t="e">
        <f t="shared" si="90"/>
        <v>#DIV/0!</v>
      </c>
      <c r="K116" s="43">
        <f t="shared" si="85"/>
        <v>0</v>
      </c>
      <c r="L116" s="54"/>
      <c r="M116" s="250">
        <v>0</v>
      </c>
      <c r="N116" s="31">
        <f t="shared" si="86"/>
        <v>0</v>
      </c>
      <c r="O116" s="55">
        <f t="shared" si="87"/>
        <v>0</v>
      </c>
      <c r="P116" s="245">
        <v>0</v>
      </c>
      <c r="Q116" s="43">
        <f t="shared" si="88"/>
        <v>0</v>
      </c>
      <c r="R116" s="31">
        <f t="shared" si="89"/>
        <v>0</v>
      </c>
    </row>
    <row r="117" spans="1:18">
      <c r="A117" s="21"/>
      <c r="B117" s="41"/>
      <c r="C117" s="39" t="s">
        <v>208</v>
      </c>
      <c r="D117" s="27" t="e">
        <f t="shared" si="91"/>
        <v>#DIV/0!</v>
      </c>
      <c r="E117" s="43">
        <f t="shared" si="81"/>
        <v>0</v>
      </c>
      <c r="F117" s="54"/>
      <c r="G117" s="66">
        <f t="shared" si="82"/>
        <v>102.55</v>
      </c>
      <c r="H117" s="31">
        <f t="shared" si="83"/>
        <v>0</v>
      </c>
      <c r="I117" s="55">
        <f t="shared" si="84"/>
        <v>0</v>
      </c>
      <c r="J117" s="27" t="e">
        <f t="shared" si="90"/>
        <v>#DIV/0!</v>
      </c>
      <c r="K117" s="43">
        <f t="shared" si="85"/>
        <v>0</v>
      </c>
      <c r="L117" s="54"/>
      <c r="M117" s="250">
        <v>0</v>
      </c>
      <c r="N117" s="31">
        <f t="shared" si="86"/>
        <v>0</v>
      </c>
      <c r="O117" s="55">
        <f t="shared" si="87"/>
        <v>0</v>
      </c>
      <c r="P117" s="245">
        <v>0</v>
      </c>
      <c r="Q117" s="43">
        <f t="shared" si="88"/>
        <v>0</v>
      </c>
      <c r="R117" s="31">
        <f t="shared" si="89"/>
        <v>0</v>
      </c>
    </row>
    <row r="118" spans="1:18">
      <c r="A118" s="21"/>
      <c r="B118" s="41"/>
      <c r="C118" s="39" t="s">
        <v>59</v>
      </c>
      <c r="D118" s="27" t="e">
        <f t="shared" si="91"/>
        <v>#DIV/0!</v>
      </c>
      <c r="E118" s="43">
        <f t="shared" si="81"/>
        <v>0</v>
      </c>
      <c r="F118" s="54"/>
      <c r="G118" s="66">
        <f t="shared" si="82"/>
        <v>75.819999999999993</v>
      </c>
      <c r="H118" s="31">
        <f t="shared" si="83"/>
        <v>0</v>
      </c>
      <c r="I118" s="55">
        <f t="shared" si="84"/>
        <v>0</v>
      </c>
      <c r="J118" s="27" t="e">
        <f t="shared" si="90"/>
        <v>#DIV/0!</v>
      </c>
      <c r="K118" s="43">
        <f t="shared" si="85"/>
        <v>0</v>
      </c>
      <c r="L118" s="54"/>
      <c r="M118" s="250">
        <v>0</v>
      </c>
      <c r="N118" s="31">
        <f t="shared" si="86"/>
        <v>0</v>
      </c>
      <c r="O118" s="55">
        <f t="shared" si="87"/>
        <v>0</v>
      </c>
      <c r="P118" s="245">
        <v>0</v>
      </c>
      <c r="Q118" s="43">
        <f t="shared" si="88"/>
        <v>0</v>
      </c>
      <c r="R118" s="31">
        <f t="shared" si="89"/>
        <v>0</v>
      </c>
    </row>
    <row r="119" spans="1:18">
      <c r="A119" s="21"/>
      <c r="B119" s="41"/>
      <c r="C119" s="39" t="s">
        <v>60</v>
      </c>
      <c r="D119" s="27" t="e">
        <f t="shared" si="91"/>
        <v>#DIV/0!</v>
      </c>
      <c r="E119" s="43">
        <f t="shared" si="81"/>
        <v>0</v>
      </c>
      <c r="F119" s="54"/>
      <c r="G119" s="66">
        <f t="shared" si="82"/>
        <v>1054.71</v>
      </c>
      <c r="H119" s="31">
        <f t="shared" si="83"/>
        <v>0</v>
      </c>
      <c r="I119" s="55">
        <f t="shared" si="84"/>
        <v>0</v>
      </c>
      <c r="J119" s="27" t="e">
        <f t="shared" si="90"/>
        <v>#DIV/0!</v>
      </c>
      <c r="K119" s="43">
        <f t="shared" si="85"/>
        <v>0</v>
      </c>
      <c r="L119" s="54"/>
      <c r="M119" s="250">
        <v>0</v>
      </c>
      <c r="N119" s="31">
        <f t="shared" si="86"/>
        <v>0</v>
      </c>
      <c r="O119" s="55">
        <f t="shared" si="87"/>
        <v>0</v>
      </c>
      <c r="P119" s="245">
        <v>0</v>
      </c>
      <c r="Q119" s="43">
        <f t="shared" si="88"/>
        <v>0</v>
      </c>
      <c r="R119" s="31">
        <f t="shared" si="89"/>
        <v>0</v>
      </c>
    </row>
    <row r="120" spans="1:18">
      <c r="A120" s="21"/>
      <c r="B120" s="41"/>
      <c r="C120" s="39" t="s">
        <v>61</v>
      </c>
      <c r="D120" s="27" t="e">
        <f t="shared" si="91"/>
        <v>#DIV/0!</v>
      </c>
      <c r="E120" s="43">
        <f t="shared" si="81"/>
        <v>0</v>
      </c>
      <c r="F120" s="54"/>
      <c r="G120" s="66">
        <f t="shared" si="82"/>
        <v>965.495</v>
      </c>
      <c r="H120" s="31">
        <f>E120</f>
        <v>0</v>
      </c>
      <c r="I120" s="55">
        <f t="shared" si="84"/>
        <v>0</v>
      </c>
      <c r="J120" s="27" t="e">
        <f t="shared" si="90"/>
        <v>#DIV/0!</v>
      </c>
      <c r="K120" s="43">
        <f t="shared" si="85"/>
        <v>0</v>
      </c>
      <c r="L120" s="54"/>
      <c r="M120" s="250">
        <v>0</v>
      </c>
      <c r="N120" s="31">
        <f>K120</f>
        <v>0</v>
      </c>
      <c r="O120" s="55">
        <f t="shared" si="87"/>
        <v>0</v>
      </c>
      <c r="P120" s="245">
        <v>0</v>
      </c>
      <c r="Q120" s="43">
        <f t="shared" si="88"/>
        <v>0</v>
      </c>
      <c r="R120" s="31">
        <f t="shared" si="89"/>
        <v>0</v>
      </c>
    </row>
    <row r="121" spans="1:18">
      <c r="A121" s="21"/>
      <c r="B121" s="41"/>
      <c r="C121" s="39" t="s">
        <v>209</v>
      </c>
      <c r="D121" s="27" t="e">
        <f t="shared" si="91"/>
        <v>#DIV/0!</v>
      </c>
      <c r="E121" s="43">
        <f t="shared" si="81"/>
        <v>0</v>
      </c>
      <c r="F121" s="54"/>
      <c r="G121" s="66">
        <f t="shared" si="82"/>
        <v>921.98500000000001</v>
      </c>
      <c r="H121" s="31">
        <f t="shared" si="83"/>
        <v>0</v>
      </c>
      <c r="I121" s="55">
        <f t="shared" si="84"/>
        <v>0</v>
      </c>
      <c r="J121" s="27" t="e">
        <f t="shared" si="90"/>
        <v>#DIV/0!</v>
      </c>
      <c r="K121" s="43">
        <f t="shared" si="85"/>
        <v>0</v>
      </c>
      <c r="L121" s="54"/>
      <c r="M121" s="250">
        <v>0</v>
      </c>
      <c r="N121" s="31">
        <f t="shared" si="86"/>
        <v>0</v>
      </c>
      <c r="O121" s="55">
        <f t="shared" si="87"/>
        <v>0</v>
      </c>
      <c r="P121" s="245">
        <v>0</v>
      </c>
      <c r="Q121" s="43">
        <f t="shared" si="88"/>
        <v>0</v>
      </c>
      <c r="R121" s="31">
        <f t="shared" si="89"/>
        <v>0</v>
      </c>
    </row>
    <row r="122" spans="1:18">
      <c r="A122" s="21"/>
      <c r="B122" s="41"/>
      <c r="C122" s="39" t="s">
        <v>210</v>
      </c>
      <c r="D122" s="27" t="e">
        <f t="shared" si="91"/>
        <v>#DIV/0!</v>
      </c>
      <c r="E122" s="43">
        <f t="shared" si="81"/>
        <v>0</v>
      </c>
      <c r="F122" s="54"/>
      <c r="G122" s="66">
        <f t="shared" si="82"/>
        <v>494.15</v>
      </c>
      <c r="H122" s="31">
        <f t="shared" si="83"/>
        <v>0</v>
      </c>
      <c r="I122" s="55">
        <f t="shared" si="84"/>
        <v>0</v>
      </c>
      <c r="J122" s="27" t="e">
        <f t="shared" si="90"/>
        <v>#DIV/0!</v>
      </c>
      <c r="K122" s="43">
        <f t="shared" si="85"/>
        <v>0</v>
      </c>
      <c r="L122" s="54"/>
      <c r="M122" s="250">
        <v>0</v>
      </c>
      <c r="N122" s="31">
        <f t="shared" si="86"/>
        <v>0</v>
      </c>
      <c r="O122" s="55">
        <f t="shared" si="87"/>
        <v>0</v>
      </c>
      <c r="P122" s="245">
        <v>0</v>
      </c>
      <c r="Q122" s="43">
        <f t="shared" si="88"/>
        <v>0</v>
      </c>
      <c r="R122" s="31">
        <f t="shared" si="89"/>
        <v>0</v>
      </c>
    </row>
    <row r="123" spans="1:18">
      <c r="A123" s="21"/>
      <c r="B123" s="41"/>
      <c r="C123" s="39" t="s">
        <v>211</v>
      </c>
      <c r="D123" s="27" t="e">
        <f t="shared" si="91"/>
        <v>#DIV/0!</v>
      </c>
      <c r="E123" s="43">
        <f t="shared" si="81"/>
        <v>0</v>
      </c>
      <c r="F123" s="54"/>
      <c r="G123" s="66">
        <f t="shared" si="82"/>
        <v>300.57</v>
      </c>
      <c r="H123" s="31">
        <f t="shared" si="83"/>
        <v>0</v>
      </c>
      <c r="I123" s="55">
        <f t="shared" si="84"/>
        <v>0</v>
      </c>
      <c r="J123" s="27" t="e">
        <f t="shared" si="90"/>
        <v>#DIV/0!</v>
      </c>
      <c r="K123" s="43">
        <f t="shared" si="85"/>
        <v>0</v>
      </c>
      <c r="L123" s="54"/>
      <c r="M123" s="250">
        <v>0</v>
      </c>
      <c r="N123" s="31">
        <f t="shared" si="86"/>
        <v>0</v>
      </c>
      <c r="O123" s="55">
        <f t="shared" si="87"/>
        <v>0</v>
      </c>
      <c r="P123" s="245">
        <v>0</v>
      </c>
      <c r="Q123" s="43">
        <f t="shared" si="88"/>
        <v>0</v>
      </c>
      <c r="R123" s="31">
        <f t="shared" si="89"/>
        <v>0</v>
      </c>
    </row>
    <row r="124" spans="1:18">
      <c r="A124" s="21"/>
      <c r="B124" s="41"/>
      <c r="C124" s="39" t="s">
        <v>212</v>
      </c>
      <c r="D124" s="27" t="e">
        <f t="shared" si="91"/>
        <v>#DIV/0!</v>
      </c>
      <c r="E124" s="43">
        <f t="shared" si="81"/>
        <v>0</v>
      </c>
      <c r="F124" s="54"/>
      <c r="G124" s="66">
        <f t="shared" si="82"/>
        <v>240.13499999999999</v>
      </c>
      <c r="H124" s="31">
        <f t="shared" si="83"/>
        <v>0</v>
      </c>
      <c r="I124" s="55">
        <f t="shared" si="84"/>
        <v>0</v>
      </c>
      <c r="J124" s="27" t="e">
        <f t="shared" si="90"/>
        <v>#DIV/0!</v>
      </c>
      <c r="K124" s="43">
        <f t="shared" si="85"/>
        <v>0</v>
      </c>
      <c r="L124" s="54"/>
      <c r="M124" s="250">
        <v>0</v>
      </c>
      <c r="N124" s="31">
        <f t="shared" si="86"/>
        <v>0</v>
      </c>
      <c r="O124" s="55">
        <f t="shared" si="87"/>
        <v>0</v>
      </c>
      <c r="P124" s="245">
        <v>0</v>
      </c>
      <c r="Q124" s="43">
        <f t="shared" si="88"/>
        <v>0</v>
      </c>
      <c r="R124" s="31">
        <f t="shared" si="89"/>
        <v>0</v>
      </c>
    </row>
    <row r="125" spans="1:18" ht="24">
      <c r="A125" s="21"/>
      <c r="B125" s="41" t="s">
        <v>34</v>
      </c>
      <c r="C125" s="42" t="s">
        <v>35</v>
      </c>
      <c r="D125" s="27" t="e">
        <f t="shared" si="66"/>
        <v>#DIV/0!</v>
      </c>
      <c r="E125" s="28"/>
      <c r="F125" s="54"/>
      <c r="G125" s="65"/>
      <c r="H125" s="31">
        <f>'Факт ПС за 3 года'!J88*'Факт ПС за 3 года'!K88</f>
        <v>0</v>
      </c>
      <c r="I125" s="55">
        <f t="shared" si="84"/>
        <v>0</v>
      </c>
      <c r="J125" s="27" t="e">
        <f>L125*1000/K125</f>
        <v>#DIV/0!</v>
      </c>
      <c r="K125" s="28"/>
      <c r="L125" s="54"/>
      <c r="M125" s="65"/>
      <c r="N125" s="31">
        <f>'Факт ПС за 3 года'!P88*'Факт ПС за 3 года'!Q88</f>
        <v>0</v>
      </c>
      <c r="O125" s="55">
        <f t="shared" si="87"/>
        <v>0</v>
      </c>
      <c r="P125" s="245"/>
      <c r="Q125" s="28"/>
      <c r="R125" s="31">
        <f>P125*Q125/1000</f>
        <v>0</v>
      </c>
    </row>
    <row r="126" spans="1:18">
      <c r="A126" s="21"/>
      <c r="B126" s="277" t="s">
        <v>48</v>
      </c>
      <c r="C126" s="278"/>
      <c r="D126" s="33"/>
      <c r="E126" s="33"/>
      <c r="F126" s="56"/>
      <c r="G126" s="67"/>
      <c r="H126" s="33"/>
      <c r="I126" s="56"/>
      <c r="J126" s="33"/>
      <c r="K126" s="33"/>
      <c r="L126" s="56"/>
      <c r="M126" s="67"/>
      <c r="N126" s="33"/>
      <c r="O126" s="56"/>
      <c r="P126" s="247"/>
      <c r="Q126" s="33"/>
      <c r="R126" s="34"/>
    </row>
    <row r="127" spans="1:18">
      <c r="A127" s="21"/>
      <c r="B127" s="183" t="s">
        <v>49</v>
      </c>
      <c r="C127" s="30" t="s">
        <v>28</v>
      </c>
      <c r="D127" s="35"/>
      <c r="E127" s="88">
        <f>SUM(E128:E133)</f>
        <v>0</v>
      </c>
      <c r="F127" s="88">
        <f>SUM(F128:F133)</f>
        <v>0</v>
      </c>
      <c r="G127" s="66"/>
      <c r="H127" s="88">
        <f>SUM(H128:H133)</f>
        <v>0</v>
      </c>
      <c r="I127" s="88">
        <f>SUM(I128:I133)</f>
        <v>0</v>
      </c>
      <c r="J127" s="35"/>
      <c r="K127" s="88">
        <f>SUM(K128:K133)</f>
        <v>0</v>
      </c>
      <c r="L127" s="88">
        <f>SUM(L128:L133)</f>
        <v>0</v>
      </c>
      <c r="M127" s="66"/>
      <c r="N127" s="88">
        <f>SUM(N128:N133)</f>
        <v>0</v>
      </c>
      <c r="O127" s="88">
        <f>SUM(O128:O133)</f>
        <v>0</v>
      </c>
      <c r="P127" s="246"/>
      <c r="Q127" s="88">
        <f>SUM(Q128:Q133)</f>
        <v>0</v>
      </c>
      <c r="R127" s="88">
        <f>SUM(R128:R133)</f>
        <v>0</v>
      </c>
    </row>
    <row r="128" spans="1:18">
      <c r="A128" s="21"/>
      <c r="B128" s="183"/>
      <c r="C128" s="30" t="s">
        <v>190</v>
      </c>
      <c r="D128" s="27" t="e">
        <f>F128*1000/E128</f>
        <v>#DIV/0!</v>
      </c>
      <c r="E128" s="43">
        <f t="shared" ref="E128:E142" si="92">E53</f>
        <v>0</v>
      </c>
      <c r="F128" s="54"/>
      <c r="G128" s="66">
        <f>G53/2</f>
        <v>80070.14</v>
      </c>
      <c r="H128" s="31">
        <f>E128</f>
        <v>0</v>
      </c>
      <c r="I128" s="55">
        <f>G128*H128*$V$24*$X$24/1000</f>
        <v>0</v>
      </c>
      <c r="J128" s="27" t="e">
        <f>L128*1000/K128</f>
        <v>#DIV/0!</v>
      </c>
      <c r="K128" s="43">
        <f t="shared" ref="K128:K142" si="93">K53</f>
        <v>0</v>
      </c>
      <c r="L128" s="54"/>
      <c r="M128" s="250">
        <v>0</v>
      </c>
      <c r="N128" s="31">
        <f>K128</f>
        <v>0</v>
      </c>
      <c r="O128" s="55">
        <f>M128*N128*$V$24*$X$24/1000</f>
        <v>0</v>
      </c>
      <c r="P128" s="245">
        <v>0</v>
      </c>
      <c r="Q128" s="43">
        <f t="shared" ref="Q128:Q142" si="94">Q53</f>
        <v>0</v>
      </c>
      <c r="R128" s="31">
        <f t="shared" ref="R128:R145" si="95">P128*Q128/1000</f>
        <v>0</v>
      </c>
    </row>
    <row r="129" spans="1:18">
      <c r="A129" s="21"/>
      <c r="B129" s="183"/>
      <c r="C129" s="30" t="s">
        <v>191</v>
      </c>
      <c r="D129" s="27" t="e">
        <f t="shared" ref="D129:D133" si="96">F129*1000/E129</f>
        <v>#DIV/0!</v>
      </c>
      <c r="E129" s="43">
        <f t="shared" si="92"/>
        <v>0</v>
      </c>
      <c r="F129" s="54"/>
      <c r="G129" s="66">
        <f t="shared" ref="G129:G133" si="97">G54/2</f>
        <v>115224.08</v>
      </c>
      <c r="H129" s="31">
        <f t="shared" ref="H129:H133" si="98">E129</f>
        <v>0</v>
      </c>
      <c r="I129" s="55">
        <f t="shared" ref="I129:I133" si="99">G129*H129*$V$24*$X$24/1000</f>
        <v>0</v>
      </c>
      <c r="J129" s="27" t="e">
        <f t="shared" ref="J129:J133" si="100">L129*1000/K129</f>
        <v>#DIV/0!</v>
      </c>
      <c r="K129" s="43">
        <f t="shared" si="93"/>
        <v>0</v>
      </c>
      <c r="L129" s="54"/>
      <c r="M129" s="250">
        <v>0</v>
      </c>
      <c r="N129" s="31">
        <f t="shared" ref="N129:N133" si="101">K129</f>
        <v>0</v>
      </c>
      <c r="O129" s="55">
        <f t="shared" ref="O129:O133" si="102">M129*N129*$V$24*$X$24/1000</f>
        <v>0</v>
      </c>
      <c r="P129" s="245">
        <v>0</v>
      </c>
      <c r="Q129" s="43">
        <f t="shared" si="94"/>
        <v>0</v>
      </c>
      <c r="R129" s="31">
        <f t="shared" si="95"/>
        <v>0</v>
      </c>
    </row>
    <row r="130" spans="1:18">
      <c r="A130" s="21"/>
      <c r="B130" s="183"/>
      <c r="C130" s="30" t="s">
        <v>192</v>
      </c>
      <c r="D130" s="27" t="e">
        <f t="shared" si="96"/>
        <v>#DIV/0!</v>
      </c>
      <c r="E130" s="43">
        <f t="shared" si="92"/>
        <v>0</v>
      </c>
      <c r="F130" s="54"/>
      <c r="G130" s="66">
        <f t="shared" si="97"/>
        <v>115165.955</v>
      </c>
      <c r="H130" s="31">
        <f t="shared" si="98"/>
        <v>0</v>
      </c>
      <c r="I130" s="55">
        <f t="shared" si="99"/>
        <v>0</v>
      </c>
      <c r="J130" s="27" t="e">
        <f t="shared" si="100"/>
        <v>#DIV/0!</v>
      </c>
      <c r="K130" s="43">
        <f t="shared" si="93"/>
        <v>0</v>
      </c>
      <c r="L130" s="54"/>
      <c r="M130" s="250">
        <v>0</v>
      </c>
      <c r="N130" s="31">
        <f t="shared" si="101"/>
        <v>0</v>
      </c>
      <c r="O130" s="55">
        <f t="shared" si="102"/>
        <v>0</v>
      </c>
      <c r="P130" s="245">
        <v>0</v>
      </c>
      <c r="Q130" s="43">
        <f t="shared" si="94"/>
        <v>0</v>
      </c>
      <c r="R130" s="31">
        <f t="shared" si="95"/>
        <v>0</v>
      </c>
    </row>
    <row r="131" spans="1:18">
      <c r="A131" s="21"/>
      <c r="B131" s="183"/>
      <c r="C131" s="30" t="s">
        <v>193</v>
      </c>
      <c r="D131" s="27" t="e">
        <f t="shared" si="96"/>
        <v>#DIV/0!</v>
      </c>
      <c r="E131" s="43">
        <f t="shared" si="92"/>
        <v>0</v>
      </c>
      <c r="F131" s="54"/>
      <c r="G131" s="66">
        <f t="shared" si="97"/>
        <v>140664.875</v>
      </c>
      <c r="H131" s="31">
        <f t="shared" si="98"/>
        <v>0</v>
      </c>
      <c r="I131" s="55">
        <f>G131*H131*$V$24*$X$24/1000</f>
        <v>0</v>
      </c>
      <c r="J131" s="27" t="e">
        <f t="shared" si="100"/>
        <v>#DIV/0!</v>
      </c>
      <c r="K131" s="43">
        <f t="shared" si="93"/>
        <v>0</v>
      </c>
      <c r="L131" s="54"/>
      <c r="M131" s="250">
        <v>0</v>
      </c>
      <c r="N131" s="31">
        <f t="shared" si="101"/>
        <v>0</v>
      </c>
      <c r="O131" s="55">
        <f>M131*N131*$V$24*$X$24/1000</f>
        <v>0</v>
      </c>
      <c r="P131" s="245">
        <v>0</v>
      </c>
      <c r="Q131" s="43">
        <f t="shared" si="94"/>
        <v>0</v>
      </c>
      <c r="R131" s="31">
        <f t="shared" si="95"/>
        <v>0</v>
      </c>
    </row>
    <row r="132" spans="1:18">
      <c r="A132" s="21"/>
      <c r="B132" s="183"/>
      <c r="C132" s="30" t="s">
        <v>194</v>
      </c>
      <c r="D132" s="27" t="e">
        <f t="shared" si="96"/>
        <v>#DIV/0!</v>
      </c>
      <c r="E132" s="43">
        <f t="shared" si="92"/>
        <v>0</v>
      </c>
      <c r="F132" s="54"/>
      <c r="G132" s="66">
        <f t="shared" si="97"/>
        <v>153718.44500000001</v>
      </c>
      <c r="H132" s="31">
        <f t="shared" si="98"/>
        <v>0</v>
      </c>
      <c r="I132" s="55">
        <f>G132*H132*$V$24*$X$24/1000</f>
        <v>0</v>
      </c>
      <c r="J132" s="27" t="e">
        <f t="shared" si="100"/>
        <v>#DIV/0!</v>
      </c>
      <c r="K132" s="43">
        <f t="shared" si="93"/>
        <v>0</v>
      </c>
      <c r="L132" s="54"/>
      <c r="M132" s="250">
        <v>0</v>
      </c>
      <c r="N132" s="31">
        <f t="shared" si="101"/>
        <v>0</v>
      </c>
      <c r="O132" s="55">
        <f>M132*N132*$V$24*$X$24/1000</f>
        <v>0</v>
      </c>
      <c r="P132" s="245">
        <v>0</v>
      </c>
      <c r="Q132" s="43">
        <f t="shared" si="94"/>
        <v>0</v>
      </c>
      <c r="R132" s="31">
        <f t="shared" si="95"/>
        <v>0</v>
      </c>
    </row>
    <row r="133" spans="1:18">
      <c r="A133" s="21"/>
      <c r="B133" s="183"/>
      <c r="C133" s="30" t="s">
        <v>195</v>
      </c>
      <c r="D133" s="27" t="e">
        <f t="shared" si="96"/>
        <v>#DIV/0!</v>
      </c>
      <c r="E133" s="43">
        <f t="shared" si="92"/>
        <v>0</v>
      </c>
      <c r="F133" s="54"/>
      <c r="G133" s="66">
        <f t="shared" si="97"/>
        <v>163378.27499999999</v>
      </c>
      <c r="H133" s="31">
        <f t="shared" si="98"/>
        <v>0</v>
      </c>
      <c r="I133" s="55">
        <f t="shared" si="99"/>
        <v>0</v>
      </c>
      <c r="J133" s="27" t="e">
        <f t="shared" si="100"/>
        <v>#DIV/0!</v>
      </c>
      <c r="K133" s="43">
        <f t="shared" si="93"/>
        <v>0</v>
      </c>
      <c r="L133" s="54"/>
      <c r="M133" s="250">
        <v>0</v>
      </c>
      <c r="N133" s="31">
        <f t="shared" si="101"/>
        <v>0</v>
      </c>
      <c r="O133" s="55">
        <f t="shared" si="102"/>
        <v>0</v>
      </c>
      <c r="P133" s="245">
        <v>0</v>
      </c>
      <c r="Q133" s="43">
        <f t="shared" si="94"/>
        <v>0</v>
      </c>
      <c r="R133" s="31">
        <f t="shared" si="95"/>
        <v>0</v>
      </c>
    </row>
    <row r="134" spans="1:18">
      <c r="A134" s="21"/>
      <c r="B134" s="183" t="s">
        <v>50</v>
      </c>
      <c r="C134" s="30" t="s">
        <v>30</v>
      </c>
      <c r="D134" s="49"/>
      <c r="E134" s="88">
        <f>SUM(E135:E142)</f>
        <v>0</v>
      </c>
      <c r="F134" s="88">
        <f>SUM(F135:F142)</f>
        <v>0</v>
      </c>
      <c r="G134" s="66"/>
      <c r="H134" s="88">
        <f>SUM(H135:H142)</f>
        <v>0</v>
      </c>
      <c r="I134" s="88">
        <f>SUM(I135:I142)</f>
        <v>0</v>
      </c>
      <c r="J134" s="49"/>
      <c r="K134" s="88">
        <f>SUM(K135:K142)</f>
        <v>0</v>
      </c>
      <c r="L134" s="88">
        <f>SUM(L135:L142)</f>
        <v>0</v>
      </c>
      <c r="M134" s="250"/>
      <c r="N134" s="88">
        <f>SUM(N135:N142)</f>
        <v>0</v>
      </c>
      <c r="O134" s="88">
        <f>SUM(O135:O142)</f>
        <v>0</v>
      </c>
      <c r="P134" s="249"/>
      <c r="Q134" s="88">
        <f>SUM(Q135:Q142)</f>
        <v>0</v>
      </c>
      <c r="R134" s="88">
        <f>SUM(R135:R142)</f>
        <v>0</v>
      </c>
    </row>
    <row r="135" spans="1:18">
      <c r="A135" s="21"/>
      <c r="B135" s="183"/>
      <c r="C135" s="30" t="s">
        <v>196</v>
      </c>
      <c r="D135" s="27" t="e">
        <f t="shared" ref="D135" si="103">F135*1000/E135</f>
        <v>#DIV/0!</v>
      </c>
      <c r="E135" s="43">
        <f t="shared" si="92"/>
        <v>0</v>
      </c>
      <c r="F135" s="54"/>
      <c r="G135" s="66">
        <f>G60/2</f>
        <v>174806.3</v>
      </c>
      <c r="H135" s="31">
        <f>E135</f>
        <v>0</v>
      </c>
      <c r="I135" s="55">
        <f>G135*H135*$V$25*$X$25/1000</f>
        <v>0</v>
      </c>
      <c r="J135" s="27" t="e">
        <f t="shared" ref="J135" si="104">L135*1000/K135</f>
        <v>#DIV/0!</v>
      </c>
      <c r="K135" s="43">
        <f t="shared" si="93"/>
        <v>0</v>
      </c>
      <c r="L135" s="54"/>
      <c r="M135" s="250">
        <v>0</v>
      </c>
      <c r="N135" s="31">
        <f>K135</f>
        <v>0</v>
      </c>
      <c r="O135" s="55">
        <f>M135*N135*$V$25*$X$25/1000</f>
        <v>0</v>
      </c>
      <c r="P135" s="245">
        <v>0</v>
      </c>
      <c r="Q135" s="43">
        <f t="shared" si="94"/>
        <v>0</v>
      </c>
      <c r="R135" s="31">
        <f>P135*Q135/1000</f>
        <v>0</v>
      </c>
    </row>
    <row r="136" spans="1:18">
      <c r="A136" s="21"/>
      <c r="B136" s="183"/>
      <c r="C136" s="30" t="s">
        <v>197</v>
      </c>
      <c r="D136" s="27" t="e">
        <f>F136*1000/E136</f>
        <v>#DIV/0!</v>
      </c>
      <c r="E136" s="43">
        <f t="shared" si="92"/>
        <v>0</v>
      </c>
      <c r="F136" s="54"/>
      <c r="G136" s="66">
        <f t="shared" ref="G136:G142" si="105">G61/2</f>
        <v>169787.74</v>
      </c>
      <c r="H136" s="31">
        <f t="shared" ref="H136:H139" si="106">E136</f>
        <v>0</v>
      </c>
      <c r="I136" s="55">
        <f t="shared" ref="I136:I142" si="107">G136*H136*$V$25*$X$25/1000</f>
        <v>0</v>
      </c>
      <c r="J136" s="27" t="e">
        <f>L136*1000/K136</f>
        <v>#DIV/0!</v>
      </c>
      <c r="K136" s="43">
        <f t="shared" si="93"/>
        <v>0</v>
      </c>
      <c r="L136" s="54"/>
      <c r="M136" s="250">
        <v>0</v>
      </c>
      <c r="N136" s="31">
        <f t="shared" ref="N136:N139" si="108">K136</f>
        <v>0</v>
      </c>
      <c r="O136" s="55">
        <f t="shared" ref="O136:O142" si="109">M136*N136*$V$25*$X$25/1000</f>
        <v>0</v>
      </c>
      <c r="P136" s="245">
        <v>0</v>
      </c>
      <c r="Q136" s="43">
        <f t="shared" si="94"/>
        <v>0</v>
      </c>
      <c r="R136" s="31">
        <f t="shared" si="95"/>
        <v>0</v>
      </c>
    </row>
    <row r="137" spans="1:18">
      <c r="A137" s="21"/>
      <c r="B137" s="183"/>
      <c r="C137" s="30" t="s">
        <v>198</v>
      </c>
      <c r="D137" s="27" t="e">
        <f t="shared" ref="D137:D142" si="110">F137*1000/E137</f>
        <v>#DIV/0!</v>
      </c>
      <c r="E137" s="43">
        <f t="shared" si="92"/>
        <v>0</v>
      </c>
      <c r="F137" s="54"/>
      <c r="G137" s="66">
        <f t="shared" si="105"/>
        <v>201462.39999999999</v>
      </c>
      <c r="H137" s="31">
        <f t="shared" si="106"/>
        <v>0</v>
      </c>
      <c r="I137" s="55">
        <f t="shared" si="107"/>
        <v>0</v>
      </c>
      <c r="J137" s="27" t="e">
        <f t="shared" ref="J137:J142" si="111">L137*1000/K137</f>
        <v>#DIV/0!</v>
      </c>
      <c r="K137" s="43">
        <f t="shared" si="93"/>
        <v>0</v>
      </c>
      <c r="L137" s="54"/>
      <c r="M137" s="250">
        <v>0</v>
      </c>
      <c r="N137" s="31">
        <f t="shared" si="108"/>
        <v>0</v>
      </c>
      <c r="O137" s="55">
        <f t="shared" si="109"/>
        <v>0</v>
      </c>
      <c r="P137" s="245">
        <v>0</v>
      </c>
      <c r="Q137" s="43">
        <f t="shared" si="94"/>
        <v>0</v>
      </c>
      <c r="R137" s="31">
        <f t="shared" si="95"/>
        <v>0</v>
      </c>
    </row>
    <row r="138" spans="1:18">
      <c r="A138" s="21"/>
      <c r="B138" s="183"/>
      <c r="C138" s="30" t="s">
        <v>199</v>
      </c>
      <c r="D138" s="27" t="e">
        <f t="shared" si="110"/>
        <v>#DIV/0!</v>
      </c>
      <c r="E138" s="43">
        <f t="shared" si="92"/>
        <v>0</v>
      </c>
      <c r="F138" s="54"/>
      <c r="G138" s="66">
        <f t="shared" si="105"/>
        <v>255979.68</v>
      </c>
      <c r="H138" s="31">
        <f>E138</f>
        <v>0</v>
      </c>
      <c r="I138" s="55">
        <f t="shared" si="107"/>
        <v>0</v>
      </c>
      <c r="J138" s="27" t="e">
        <f t="shared" si="111"/>
        <v>#DIV/0!</v>
      </c>
      <c r="K138" s="43">
        <f t="shared" si="93"/>
        <v>0</v>
      </c>
      <c r="L138" s="54"/>
      <c r="M138" s="250">
        <v>0</v>
      </c>
      <c r="N138" s="31">
        <f>K138</f>
        <v>0</v>
      </c>
      <c r="O138" s="55">
        <f t="shared" si="109"/>
        <v>0</v>
      </c>
      <c r="P138" s="245">
        <v>0</v>
      </c>
      <c r="Q138" s="43">
        <f t="shared" si="94"/>
        <v>0</v>
      </c>
      <c r="R138" s="31">
        <f t="shared" si="95"/>
        <v>0</v>
      </c>
    </row>
    <row r="139" spans="1:18">
      <c r="A139" s="21"/>
      <c r="B139" s="183"/>
      <c r="C139" s="30" t="s">
        <v>200</v>
      </c>
      <c r="D139" s="27" t="e">
        <f t="shared" si="110"/>
        <v>#DIV/0!</v>
      </c>
      <c r="E139" s="43">
        <f t="shared" si="92"/>
        <v>0</v>
      </c>
      <c r="F139" s="54"/>
      <c r="G139" s="66">
        <f t="shared" si="105"/>
        <v>228504.97</v>
      </c>
      <c r="H139" s="31">
        <f t="shared" si="106"/>
        <v>0</v>
      </c>
      <c r="I139" s="55">
        <f t="shared" si="107"/>
        <v>0</v>
      </c>
      <c r="J139" s="27" t="e">
        <f t="shared" si="111"/>
        <v>#DIV/0!</v>
      </c>
      <c r="K139" s="43">
        <f t="shared" si="93"/>
        <v>0</v>
      </c>
      <c r="L139" s="54"/>
      <c r="M139" s="250">
        <v>0</v>
      </c>
      <c r="N139" s="31">
        <f t="shared" si="108"/>
        <v>0</v>
      </c>
      <c r="O139" s="55">
        <f t="shared" si="109"/>
        <v>0</v>
      </c>
      <c r="P139" s="245">
        <v>0</v>
      </c>
      <c r="Q139" s="43">
        <f t="shared" si="94"/>
        <v>0</v>
      </c>
      <c r="R139" s="31">
        <f t="shared" si="95"/>
        <v>0</v>
      </c>
    </row>
    <row r="140" spans="1:18">
      <c r="A140" s="21"/>
      <c r="B140" s="183"/>
      <c r="C140" s="30" t="s">
        <v>201</v>
      </c>
      <c r="D140" s="27" t="e">
        <f t="shared" si="110"/>
        <v>#DIV/0!</v>
      </c>
      <c r="E140" s="43">
        <f t="shared" si="92"/>
        <v>0</v>
      </c>
      <c r="F140" s="54"/>
      <c r="G140" s="66">
        <f t="shared" si="105"/>
        <v>246069.19</v>
      </c>
      <c r="H140" s="31">
        <f>E140</f>
        <v>0</v>
      </c>
      <c r="I140" s="55">
        <f t="shared" si="107"/>
        <v>0</v>
      </c>
      <c r="J140" s="27" t="e">
        <f t="shared" si="111"/>
        <v>#DIV/0!</v>
      </c>
      <c r="K140" s="43">
        <f t="shared" si="93"/>
        <v>0</v>
      </c>
      <c r="L140" s="54"/>
      <c r="M140" s="250">
        <v>0</v>
      </c>
      <c r="N140" s="31">
        <f>K140</f>
        <v>0</v>
      </c>
      <c r="O140" s="55">
        <f t="shared" si="109"/>
        <v>0</v>
      </c>
      <c r="P140" s="245">
        <v>0</v>
      </c>
      <c r="Q140" s="43">
        <f t="shared" si="94"/>
        <v>0</v>
      </c>
      <c r="R140" s="31">
        <f t="shared" si="95"/>
        <v>0</v>
      </c>
    </row>
    <row r="141" spans="1:18">
      <c r="A141" s="21"/>
      <c r="B141" s="183"/>
      <c r="C141" s="30" t="s">
        <v>202</v>
      </c>
      <c r="D141" s="27" t="e">
        <f t="shared" si="110"/>
        <v>#DIV/0!</v>
      </c>
      <c r="E141" s="43">
        <f t="shared" si="92"/>
        <v>0</v>
      </c>
      <c r="F141" s="54"/>
      <c r="G141" s="66">
        <f t="shared" si="105"/>
        <v>307576.18</v>
      </c>
      <c r="H141" s="31">
        <f t="shared" ref="H141:H142" si="112">E141</f>
        <v>0</v>
      </c>
      <c r="I141" s="55">
        <f t="shared" si="107"/>
        <v>0</v>
      </c>
      <c r="J141" s="27" t="e">
        <f t="shared" si="111"/>
        <v>#DIV/0!</v>
      </c>
      <c r="K141" s="43">
        <f t="shared" si="93"/>
        <v>0</v>
      </c>
      <c r="L141" s="54"/>
      <c r="M141" s="250">
        <v>0</v>
      </c>
      <c r="N141" s="31">
        <f t="shared" ref="N141:N142" si="113">K141</f>
        <v>0</v>
      </c>
      <c r="O141" s="55">
        <f t="shared" si="109"/>
        <v>0</v>
      </c>
      <c r="P141" s="245">
        <v>0</v>
      </c>
      <c r="Q141" s="43">
        <f t="shared" si="94"/>
        <v>0</v>
      </c>
      <c r="R141" s="31">
        <f t="shared" si="95"/>
        <v>0</v>
      </c>
    </row>
    <row r="142" spans="1:18">
      <c r="A142" s="21"/>
      <c r="B142" s="183"/>
      <c r="C142" s="30" t="s">
        <v>203</v>
      </c>
      <c r="D142" s="27" t="e">
        <f t="shared" si="110"/>
        <v>#DIV/0!</v>
      </c>
      <c r="E142" s="43">
        <f t="shared" si="92"/>
        <v>0</v>
      </c>
      <c r="F142" s="54"/>
      <c r="G142" s="66">
        <f t="shared" si="105"/>
        <v>390808.67</v>
      </c>
      <c r="H142" s="31">
        <f t="shared" si="112"/>
        <v>0</v>
      </c>
      <c r="I142" s="55">
        <f t="shared" si="107"/>
        <v>0</v>
      </c>
      <c r="J142" s="27" t="e">
        <f t="shared" si="111"/>
        <v>#DIV/0!</v>
      </c>
      <c r="K142" s="43">
        <f t="shared" si="93"/>
        <v>0</v>
      </c>
      <c r="L142" s="54"/>
      <c r="M142" s="250">
        <v>0</v>
      </c>
      <c r="N142" s="31">
        <f t="shared" si="113"/>
        <v>0</v>
      </c>
      <c r="O142" s="55">
        <f t="shared" si="109"/>
        <v>0</v>
      </c>
      <c r="P142" s="245">
        <v>0</v>
      </c>
      <c r="Q142" s="43">
        <f t="shared" si="94"/>
        <v>0</v>
      </c>
      <c r="R142" s="31">
        <f t="shared" si="95"/>
        <v>0</v>
      </c>
    </row>
    <row r="143" spans="1:18">
      <c r="A143" s="21"/>
      <c r="B143" s="183" t="s">
        <v>51</v>
      </c>
      <c r="C143" s="30" t="s">
        <v>44</v>
      </c>
      <c r="D143" s="49"/>
      <c r="E143" s="88">
        <f>SUM(E144:E145)</f>
        <v>0</v>
      </c>
      <c r="F143" s="88">
        <f>SUM(F144:F145)</f>
        <v>0</v>
      </c>
      <c r="H143" s="88">
        <f>SUM(H144:H145)</f>
        <v>0</v>
      </c>
      <c r="I143" s="88">
        <f>SUM(I144:I145)</f>
        <v>0</v>
      </c>
      <c r="J143" s="49"/>
      <c r="K143" s="88">
        <f>SUM(K144:K145)</f>
        <v>0</v>
      </c>
      <c r="L143" s="88">
        <f>SUM(L144:L145)</f>
        <v>0</v>
      </c>
      <c r="M143" s="251"/>
      <c r="N143" s="88">
        <f>SUM(N144:N145)</f>
        <v>0</v>
      </c>
      <c r="O143" s="88">
        <f>SUM(O144:O145)</f>
        <v>0</v>
      </c>
      <c r="P143" s="247"/>
      <c r="Q143" s="88">
        <f>SUM(Q144:Q145)</f>
        <v>0</v>
      </c>
      <c r="R143" s="88">
        <f>SUM(R144:R145)</f>
        <v>0</v>
      </c>
    </row>
    <row r="144" spans="1:18">
      <c r="A144" s="21"/>
      <c r="B144" s="183"/>
      <c r="C144" s="30" t="s">
        <v>204</v>
      </c>
      <c r="D144" s="27" t="e">
        <f t="shared" ref="D144:D145" si="114">F144*1000/E144</f>
        <v>#DIV/0!</v>
      </c>
      <c r="E144" s="28"/>
      <c r="F144" s="54"/>
      <c r="G144" s="66">
        <f>G69/2</f>
        <v>37.994999999999997</v>
      </c>
      <c r="H144" s="31">
        <f>E144</f>
        <v>0</v>
      </c>
      <c r="I144" s="55">
        <f>G144*H144*$V$26*$X$26/1000</f>
        <v>0</v>
      </c>
      <c r="J144" s="27" t="e">
        <f t="shared" ref="J144:J145" si="115">L144*1000/K144</f>
        <v>#DIV/0!</v>
      </c>
      <c r="K144" s="28"/>
      <c r="L144" s="54"/>
      <c r="M144" s="250">
        <v>0</v>
      </c>
      <c r="N144" s="31">
        <f>K144</f>
        <v>0</v>
      </c>
      <c r="O144" s="55">
        <f>M144*N144*$V$26*$X$26/1000</f>
        <v>0</v>
      </c>
      <c r="P144" s="245">
        <v>0</v>
      </c>
      <c r="Q144" s="28"/>
      <c r="R144" s="31">
        <f t="shared" si="95"/>
        <v>0</v>
      </c>
    </row>
    <row r="145" spans="1:18">
      <c r="A145" s="21"/>
      <c r="B145" s="183"/>
      <c r="C145" s="30" t="s">
        <v>205</v>
      </c>
      <c r="D145" s="27" t="e">
        <f t="shared" si="114"/>
        <v>#DIV/0!</v>
      </c>
      <c r="E145" s="28"/>
      <c r="F145" s="54"/>
      <c r="G145" s="66">
        <f>G70/2</f>
        <v>153.32499999999999</v>
      </c>
      <c r="H145" s="31">
        <f>E145</f>
        <v>0</v>
      </c>
      <c r="I145" s="55">
        <f>G145*H145*$V$26*$X$26/1000</f>
        <v>0</v>
      </c>
      <c r="J145" s="27" t="e">
        <f t="shared" si="115"/>
        <v>#DIV/0!</v>
      </c>
      <c r="K145" s="28"/>
      <c r="L145" s="54"/>
      <c r="M145" s="250">
        <v>0</v>
      </c>
      <c r="N145" s="31">
        <f>K145</f>
        <v>0</v>
      </c>
      <c r="O145" s="55">
        <f>M145*N145*$V$26*$X$26/1000</f>
        <v>0</v>
      </c>
      <c r="P145" s="245">
        <v>0</v>
      </c>
      <c r="Q145" s="28"/>
      <c r="R145" s="31">
        <f t="shared" si="95"/>
        <v>0</v>
      </c>
    </row>
    <row r="146" spans="1:18" ht="48">
      <c r="A146" s="21"/>
      <c r="B146" s="183" t="s">
        <v>52</v>
      </c>
      <c r="C146" s="30" t="s">
        <v>33</v>
      </c>
      <c r="D146" s="35"/>
      <c r="E146" s="88">
        <f>H146</f>
        <v>0</v>
      </c>
      <c r="F146" s="89">
        <f>SUM(F147:F153)</f>
        <v>0</v>
      </c>
      <c r="G146" s="66"/>
      <c r="H146" s="46">
        <f>SUM(H147:H153)</f>
        <v>0</v>
      </c>
      <c r="I146" s="46">
        <f>SUM(I147:I161)</f>
        <v>0</v>
      </c>
      <c r="J146" s="35"/>
      <c r="K146" s="88">
        <f>N146</f>
        <v>0</v>
      </c>
      <c r="L146" s="89">
        <f>SUM(L147:L153)</f>
        <v>0</v>
      </c>
      <c r="M146" s="250"/>
      <c r="N146" s="46">
        <f>SUM(N147:N153)</f>
        <v>0</v>
      </c>
      <c r="O146" s="46">
        <f>SUM(O147:O161)</f>
        <v>0</v>
      </c>
      <c r="P146" s="248"/>
      <c r="Q146" s="88">
        <f>T146</f>
        <v>0</v>
      </c>
      <c r="R146" s="46">
        <f>SUM(R147:R161)</f>
        <v>0</v>
      </c>
    </row>
    <row r="147" spans="1:18">
      <c r="A147" s="21"/>
      <c r="B147" s="183"/>
      <c r="C147" s="30" t="s">
        <v>55</v>
      </c>
      <c r="D147" s="27" t="e">
        <f t="shared" ref="D147:D152" si="116">F147*1000/E147</f>
        <v>#DIV/0!</v>
      </c>
      <c r="E147" s="43">
        <f t="shared" ref="E147:E161" si="117">E72</f>
        <v>0</v>
      </c>
      <c r="F147" s="54"/>
      <c r="G147" s="66">
        <f>G72/2</f>
        <v>606.66</v>
      </c>
      <c r="H147" s="31">
        <f>E147</f>
        <v>0</v>
      </c>
      <c r="I147" s="55">
        <f>G147*H147*$V$26*$X$26/1000</f>
        <v>0</v>
      </c>
      <c r="J147" s="27" t="e">
        <f t="shared" ref="J147:J152" si="118">L147*1000/K147</f>
        <v>#DIV/0!</v>
      </c>
      <c r="K147" s="43">
        <f t="shared" ref="K147:K161" si="119">K72</f>
        <v>0</v>
      </c>
      <c r="L147" s="54"/>
      <c r="M147" s="250">
        <v>0</v>
      </c>
      <c r="N147" s="31">
        <f>K147</f>
        <v>0</v>
      </c>
      <c r="O147" s="55">
        <f>M147*N147*$V$26*$X$26/1000</f>
        <v>0</v>
      </c>
      <c r="P147" s="245">
        <v>0</v>
      </c>
      <c r="Q147" s="43">
        <f t="shared" ref="Q147:Q161" si="120">Q72</f>
        <v>0</v>
      </c>
      <c r="R147" s="31">
        <f>P147*Q147/1000</f>
        <v>0</v>
      </c>
    </row>
    <row r="148" spans="1:18">
      <c r="A148" s="21"/>
      <c r="B148" s="183"/>
      <c r="C148" s="30" t="s">
        <v>206</v>
      </c>
      <c r="D148" s="27" t="e">
        <f t="shared" si="116"/>
        <v>#DIV/0!</v>
      </c>
      <c r="E148" s="43">
        <f t="shared" si="117"/>
        <v>0</v>
      </c>
      <c r="F148" s="54"/>
      <c r="G148" s="66">
        <f t="shared" ref="G148:G161" si="121">G73/2</f>
        <v>388.47</v>
      </c>
      <c r="H148" s="31">
        <f t="shared" ref="H148:H161" si="122">E148</f>
        <v>0</v>
      </c>
      <c r="I148" s="55">
        <f t="shared" ref="I148:I162" si="123">G148*H148*$V$26*$X$26/1000</f>
        <v>0</v>
      </c>
      <c r="J148" s="27" t="e">
        <f t="shared" si="118"/>
        <v>#DIV/0!</v>
      </c>
      <c r="K148" s="43">
        <f t="shared" si="119"/>
        <v>0</v>
      </c>
      <c r="L148" s="54"/>
      <c r="M148" s="250">
        <v>0</v>
      </c>
      <c r="N148" s="31">
        <f t="shared" ref="N148:N161" si="124">K148</f>
        <v>0</v>
      </c>
      <c r="O148" s="55">
        <f t="shared" ref="O148:O162" si="125">M148*N148*$V$26*$X$26/1000</f>
        <v>0</v>
      </c>
      <c r="P148" s="245">
        <v>0</v>
      </c>
      <c r="Q148" s="43">
        <f t="shared" si="120"/>
        <v>0</v>
      </c>
      <c r="R148" s="31">
        <f t="shared" ref="R148:R162" si="126">P148*Q148/1000</f>
        <v>0</v>
      </c>
    </row>
    <row r="149" spans="1:18">
      <c r="A149" s="21"/>
      <c r="B149" s="183"/>
      <c r="C149" s="30" t="s">
        <v>54</v>
      </c>
      <c r="D149" s="27" t="e">
        <f t="shared" si="116"/>
        <v>#DIV/0!</v>
      </c>
      <c r="E149" s="43">
        <f t="shared" si="117"/>
        <v>0</v>
      </c>
      <c r="F149" s="54"/>
      <c r="G149" s="66">
        <f t="shared" si="121"/>
        <v>336.4</v>
      </c>
      <c r="H149" s="31">
        <f t="shared" si="122"/>
        <v>0</v>
      </c>
      <c r="I149" s="55">
        <f t="shared" si="123"/>
        <v>0</v>
      </c>
      <c r="J149" s="27" t="e">
        <f t="shared" si="118"/>
        <v>#DIV/0!</v>
      </c>
      <c r="K149" s="43">
        <f t="shared" si="119"/>
        <v>0</v>
      </c>
      <c r="L149" s="54"/>
      <c r="M149" s="250">
        <v>0</v>
      </c>
      <c r="N149" s="31">
        <f t="shared" si="124"/>
        <v>0</v>
      </c>
      <c r="O149" s="55">
        <f t="shared" si="125"/>
        <v>0</v>
      </c>
      <c r="P149" s="245">
        <v>0</v>
      </c>
      <c r="Q149" s="43">
        <f t="shared" si="120"/>
        <v>0</v>
      </c>
      <c r="R149" s="31">
        <f t="shared" si="126"/>
        <v>0</v>
      </c>
    </row>
    <row r="150" spans="1:18">
      <c r="A150" s="21"/>
      <c r="B150" s="183"/>
      <c r="C150" s="30" t="s">
        <v>45</v>
      </c>
      <c r="D150" s="27" t="e">
        <f t="shared" si="116"/>
        <v>#DIV/0!</v>
      </c>
      <c r="E150" s="43">
        <f t="shared" si="117"/>
        <v>0</v>
      </c>
      <c r="F150" s="54"/>
      <c r="G150" s="66">
        <f t="shared" si="121"/>
        <v>291.80500000000001</v>
      </c>
      <c r="H150" s="31">
        <f t="shared" si="122"/>
        <v>0</v>
      </c>
      <c r="I150" s="55">
        <f>G150*H150*$V$26*$X$26/1000</f>
        <v>0</v>
      </c>
      <c r="J150" s="27" t="e">
        <f t="shared" si="118"/>
        <v>#DIV/0!</v>
      </c>
      <c r="K150" s="43">
        <f t="shared" si="119"/>
        <v>0</v>
      </c>
      <c r="L150" s="54"/>
      <c r="M150" s="250">
        <v>0</v>
      </c>
      <c r="N150" s="31">
        <f t="shared" si="124"/>
        <v>0</v>
      </c>
      <c r="O150" s="55">
        <f t="shared" si="125"/>
        <v>0</v>
      </c>
      <c r="P150" s="245">
        <v>0</v>
      </c>
      <c r="Q150" s="43">
        <f>Q75</f>
        <v>0</v>
      </c>
      <c r="R150" s="31">
        <f t="shared" si="126"/>
        <v>0</v>
      </c>
    </row>
    <row r="151" spans="1:18">
      <c r="A151" s="21"/>
      <c r="B151" s="183"/>
      <c r="C151" s="30" t="s">
        <v>46</v>
      </c>
      <c r="D151" s="27" t="e">
        <f t="shared" si="116"/>
        <v>#DIV/0!</v>
      </c>
      <c r="E151" s="43">
        <f t="shared" si="117"/>
        <v>0</v>
      </c>
      <c r="F151" s="54"/>
      <c r="G151" s="66">
        <f t="shared" si="121"/>
        <v>169.33500000000001</v>
      </c>
      <c r="H151" s="31">
        <f>E151</f>
        <v>0</v>
      </c>
      <c r="I151" s="55">
        <f t="shared" si="123"/>
        <v>0</v>
      </c>
      <c r="J151" s="27" t="e">
        <f t="shared" si="118"/>
        <v>#DIV/0!</v>
      </c>
      <c r="K151" s="43">
        <f t="shared" si="119"/>
        <v>0</v>
      </c>
      <c r="L151" s="54"/>
      <c r="M151" s="250">
        <v>0</v>
      </c>
      <c r="N151" s="31">
        <f>K151</f>
        <v>0</v>
      </c>
      <c r="O151" s="55">
        <f t="shared" si="125"/>
        <v>0</v>
      </c>
      <c r="P151" s="245">
        <v>0</v>
      </c>
      <c r="Q151" s="43">
        <f t="shared" si="120"/>
        <v>0</v>
      </c>
      <c r="R151" s="31">
        <f t="shared" si="126"/>
        <v>0</v>
      </c>
    </row>
    <row r="152" spans="1:18">
      <c r="A152" s="21"/>
      <c r="B152" s="183"/>
      <c r="C152" s="30" t="s">
        <v>47</v>
      </c>
      <c r="D152" s="27" t="e">
        <f t="shared" si="116"/>
        <v>#DIV/0!</v>
      </c>
      <c r="E152" s="43">
        <f t="shared" si="117"/>
        <v>0</v>
      </c>
      <c r="F152" s="54"/>
      <c r="G152" s="66">
        <f t="shared" si="121"/>
        <v>160.56</v>
      </c>
      <c r="H152" s="31">
        <f t="shared" si="122"/>
        <v>0</v>
      </c>
      <c r="I152" s="55">
        <f>G152*H152*$V$26*$X$26/1000</f>
        <v>0</v>
      </c>
      <c r="J152" s="27" t="e">
        <f t="shared" si="118"/>
        <v>#DIV/0!</v>
      </c>
      <c r="K152" s="43">
        <f t="shared" si="119"/>
        <v>0</v>
      </c>
      <c r="L152" s="54"/>
      <c r="M152" s="250">
        <v>0</v>
      </c>
      <c r="N152" s="31">
        <f t="shared" si="124"/>
        <v>0</v>
      </c>
      <c r="O152" s="55">
        <f t="shared" si="125"/>
        <v>0</v>
      </c>
      <c r="P152" s="245">
        <v>0</v>
      </c>
      <c r="Q152" s="43">
        <f t="shared" si="120"/>
        <v>0</v>
      </c>
      <c r="R152" s="31">
        <f t="shared" si="126"/>
        <v>0</v>
      </c>
    </row>
    <row r="153" spans="1:18">
      <c r="A153" s="21"/>
      <c r="B153" s="183"/>
      <c r="C153" s="39" t="s">
        <v>207</v>
      </c>
      <c r="D153" s="27" t="e">
        <f>F153*1000/E153</f>
        <v>#DIV/0!</v>
      </c>
      <c r="E153" s="43">
        <f t="shared" si="117"/>
        <v>0</v>
      </c>
      <c r="F153" s="54"/>
      <c r="G153" s="66">
        <f t="shared" si="121"/>
        <v>107.38</v>
      </c>
      <c r="H153" s="31">
        <f t="shared" si="122"/>
        <v>0</v>
      </c>
      <c r="I153" s="55">
        <f t="shared" si="123"/>
        <v>0</v>
      </c>
      <c r="J153" s="27" t="e">
        <f>L153*1000/K153</f>
        <v>#DIV/0!</v>
      </c>
      <c r="K153" s="43">
        <f t="shared" si="119"/>
        <v>0</v>
      </c>
      <c r="L153" s="54"/>
      <c r="M153" s="250">
        <v>0</v>
      </c>
      <c r="N153" s="31">
        <f t="shared" si="124"/>
        <v>0</v>
      </c>
      <c r="O153" s="55">
        <f t="shared" si="125"/>
        <v>0</v>
      </c>
      <c r="P153" s="245">
        <v>0</v>
      </c>
      <c r="Q153" s="43">
        <f t="shared" si="120"/>
        <v>0</v>
      </c>
      <c r="R153" s="31">
        <f t="shared" si="126"/>
        <v>0</v>
      </c>
    </row>
    <row r="154" spans="1:18">
      <c r="A154" s="21"/>
      <c r="B154" s="41"/>
      <c r="C154" s="39" t="s">
        <v>208</v>
      </c>
      <c r="D154" s="27" t="e">
        <f t="shared" ref="D154:D162" si="127">F154*1000/E154</f>
        <v>#DIV/0!</v>
      </c>
      <c r="E154" s="43">
        <f t="shared" si="117"/>
        <v>0</v>
      </c>
      <c r="F154" s="54"/>
      <c r="G154" s="66">
        <f t="shared" si="121"/>
        <v>102.55</v>
      </c>
      <c r="H154" s="31">
        <f t="shared" si="122"/>
        <v>0</v>
      </c>
      <c r="I154" s="55">
        <f t="shared" si="123"/>
        <v>0</v>
      </c>
      <c r="J154" s="27" t="e">
        <f t="shared" ref="J154:J162" si="128">L154*1000/K154</f>
        <v>#DIV/0!</v>
      </c>
      <c r="K154" s="43">
        <f t="shared" si="119"/>
        <v>0</v>
      </c>
      <c r="L154" s="54"/>
      <c r="M154" s="250">
        <v>0</v>
      </c>
      <c r="N154" s="31">
        <f t="shared" si="124"/>
        <v>0</v>
      </c>
      <c r="O154" s="55">
        <f t="shared" si="125"/>
        <v>0</v>
      </c>
      <c r="P154" s="245">
        <v>0</v>
      </c>
      <c r="Q154" s="43">
        <f t="shared" si="120"/>
        <v>0</v>
      </c>
      <c r="R154" s="31">
        <f t="shared" si="126"/>
        <v>0</v>
      </c>
    </row>
    <row r="155" spans="1:18">
      <c r="A155" s="21"/>
      <c r="B155" s="41"/>
      <c r="C155" s="39" t="s">
        <v>59</v>
      </c>
      <c r="D155" s="27" t="e">
        <f t="shared" si="127"/>
        <v>#DIV/0!</v>
      </c>
      <c r="E155" s="43">
        <f t="shared" si="117"/>
        <v>0</v>
      </c>
      <c r="F155" s="54"/>
      <c r="G155" s="66">
        <f t="shared" si="121"/>
        <v>75.819999999999993</v>
      </c>
      <c r="H155" s="31">
        <f t="shared" si="122"/>
        <v>0</v>
      </c>
      <c r="I155" s="55">
        <f t="shared" si="123"/>
        <v>0</v>
      </c>
      <c r="J155" s="27" t="e">
        <f t="shared" si="128"/>
        <v>#DIV/0!</v>
      </c>
      <c r="K155" s="43">
        <f t="shared" si="119"/>
        <v>0</v>
      </c>
      <c r="L155" s="54"/>
      <c r="M155" s="250">
        <v>0</v>
      </c>
      <c r="N155" s="31">
        <f t="shared" si="124"/>
        <v>0</v>
      </c>
      <c r="O155" s="55">
        <f t="shared" si="125"/>
        <v>0</v>
      </c>
      <c r="P155" s="245">
        <v>0</v>
      </c>
      <c r="Q155" s="43">
        <f t="shared" si="120"/>
        <v>0</v>
      </c>
      <c r="R155" s="31">
        <f t="shared" si="126"/>
        <v>0</v>
      </c>
    </row>
    <row r="156" spans="1:18">
      <c r="A156" s="21"/>
      <c r="B156" s="41"/>
      <c r="C156" s="39" t="s">
        <v>60</v>
      </c>
      <c r="D156" s="27" t="e">
        <f t="shared" si="127"/>
        <v>#DIV/0!</v>
      </c>
      <c r="E156" s="43">
        <f t="shared" si="117"/>
        <v>0</v>
      </c>
      <c r="F156" s="54"/>
      <c r="G156" s="66">
        <f t="shared" si="121"/>
        <v>1054.71</v>
      </c>
      <c r="H156" s="31">
        <f t="shared" si="122"/>
        <v>0</v>
      </c>
      <c r="I156" s="55">
        <f t="shared" si="123"/>
        <v>0</v>
      </c>
      <c r="J156" s="27" t="e">
        <f t="shared" si="128"/>
        <v>#DIV/0!</v>
      </c>
      <c r="K156" s="43">
        <f t="shared" si="119"/>
        <v>0</v>
      </c>
      <c r="L156" s="54"/>
      <c r="M156" s="250">
        <v>0</v>
      </c>
      <c r="N156" s="31">
        <f t="shared" si="124"/>
        <v>0</v>
      </c>
      <c r="O156" s="55">
        <f t="shared" si="125"/>
        <v>0</v>
      </c>
      <c r="P156" s="245">
        <v>0</v>
      </c>
      <c r="Q156" s="43">
        <f t="shared" si="120"/>
        <v>0</v>
      </c>
      <c r="R156" s="31">
        <f t="shared" si="126"/>
        <v>0</v>
      </c>
    </row>
    <row r="157" spans="1:18">
      <c r="A157" s="21"/>
      <c r="B157" s="41"/>
      <c r="C157" s="39" t="s">
        <v>61</v>
      </c>
      <c r="D157" s="27" t="e">
        <f t="shared" si="127"/>
        <v>#DIV/0!</v>
      </c>
      <c r="E157" s="43">
        <f t="shared" si="117"/>
        <v>0</v>
      </c>
      <c r="F157" s="54"/>
      <c r="G157" s="66">
        <f t="shared" si="121"/>
        <v>965.495</v>
      </c>
      <c r="H157" s="31">
        <f>E157</f>
        <v>0</v>
      </c>
      <c r="I157" s="55">
        <f t="shared" si="123"/>
        <v>0</v>
      </c>
      <c r="J157" s="27" t="e">
        <f t="shared" si="128"/>
        <v>#DIV/0!</v>
      </c>
      <c r="K157" s="43">
        <f t="shared" si="119"/>
        <v>0</v>
      </c>
      <c r="L157" s="54"/>
      <c r="M157" s="250">
        <v>0</v>
      </c>
      <c r="N157" s="31">
        <f>K157</f>
        <v>0</v>
      </c>
      <c r="O157" s="55">
        <f t="shared" si="125"/>
        <v>0</v>
      </c>
      <c r="P157" s="245">
        <v>0</v>
      </c>
      <c r="Q157" s="43">
        <f t="shared" si="120"/>
        <v>0</v>
      </c>
      <c r="R157" s="31">
        <f t="shared" si="126"/>
        <v>0</v>
      </c>
    </row>
    <row r="158" spans="1:18">
      <c r="A158" s="21"/>
      <c r="B158" s="41"/>
      <c r="C158" s="39" t="s">
        <v>209</v>
      </c>
      <c r="D158" s="27" t="e">
        <f t="shared" si="127"/>
        <v>#DIV/0!</v>
      </c>
      <c r="E158" s="43">
        <f t="shared" si="117"/>
        <v>0</v>
      </c>
      <c r="F158" s="54"/>
      <c r="G158" s="66">
        <f t="shared" si="121"/>
        <v>921.98500000000001</v>
      </c>
      <c r="H158" s="31">
        <f t="shared" si="122"/>
        <v>0</v>
      </c>
      <c r="I158" s="55">
        <f t="shared" si="123"/>
        <v>0</v>
      </c>
      <c r="J158" s="27" t="e">
        <f t="shared" si="128"/>
        <v>#DIV/0!</v>
      </c>
      <c r="K158" s="43">
        <f t="shared" si="119"/>
        <v>0</v>
      </c>
      <c r="L158" s="54"/>
      <c r="M158" s="250">
        <v>0</v>
      </c>
      <c r="N158" s="31">
        <f t="shared" si="124"/>
        <v>0</v>
      </c>
      <c r="O158" s="55">
        <f t="shared" si="125"/>
        <v>0</v>
      </c>
      <c r="P158" s="245">
        <v>0</v>
      </c>
      <c r="Q158" s="43">
        <f t="shared" si="120"/>
        <v>0</v>
      </c>
      <c r="R158" s="31">
        <f t="shared" si="126"/>
        <v>0</v>
      </c>
    </row>
    <row r="159" spans="1:18">
      <c r="A159" s="21"/>
      <c r="B159" s="41"/>
      <c r="C159" s="39" t="s">
        <v>210</v>
      </c>
      <c r="D159" s="27" t="e">
        <f t="shared" si="127"/>
        <v>#DIV/0!</v>
      </c>
      <c r="E159" s="43">
        <f t="shared" si="117"/>
        <v>0</v>
      </c>
      <c r="F159" s="54"/>
      <c r="G159" s="66">
        <f t="shared" si="121"/>
        <v>494.15</v>
      </c>
      <c r="H159" s="31">
        <f t="shared" si="122"/>
        <v>0</v>
      </c>
      <c r="I159" s="55">
        <f t="shared" si="123"/>
        <v>0</v>
      </c>
      <c r="J159" s="27" t="e">
        <f t="shared" si="128"/>
        <v>#DIV/0!</v>
      </c>
      <c r="K159" s="43">
        <f t="shared" si="119"/>
        <v>0</v>
      </c>
      <c r="L159" s="54"/>
      <c r="M159" s="250">
        <v>0</v>
      </c>
      <c r="N159" s="31">
        <f t="shared" si="124"/>
        <v>0</v>
      </c>
      <c r="O159" s="55">
        <f t="shared" si="125"/>
        <v>0</v>
      </c>
      <c r="P159" s="245">
        <v>0</v>
      </c>
      <c r="Q159" s="43">
        <f t="shared" si="120"/>
        <v>0</v>
      </c>
      <c r="R159" s="31">
        <f t="shared" si="126"/>
        <v>0</v>
      </c>
    </row>
    <row r="160" spans="1:18">
      <c r="A160" s="21"/>
      <c r="B160" s="41"/>
      <c r="C160" s="39" t="s">
        <v>211</v>
      </c>
      <c r="D160" s="27" t="e">
        <f t="shared" si="127"/>
        <v>#DIV/0!</v>
      </c>
      <c r="E160" s="43">
        <f t="shared" si="117"/>
        <v>0</v>
      </c>
      <c r="F160" s="54"/>
      <c r="G160" s="66">
        <f t="shared" si="121"/>
        <v>300.57</v>
      </c>
      <c r="H160" s="31">
        <f t="shared" si="122"/>
        <v>0</v>
      </c>
      <c r="I160" s="55">
        <f t="shared" si="123"/>
        <v>0</v>
      </c>
      <c r="J160" s="27" t="e">
        <f t="shared" si="128"/>
        <v>#DIV/0!</v>
      </c>
      <c r="K160" s="43">
        <f t="shared" si="119"/>
        <v>0</v>
      </c>
      <c r="L160" s="54"/>
      <c r="M160" s="250">
        <v>0</v>
      </c>
      <c r="N160" s="31">
        <f t="shared" si="124"/>
        <v>0</v>
      </c>
      <c r="O160" s="55">
        <f t="shared" si="125"/>
        <v>0</v>
      </c>
      <c r="P160" s="245">
        <v>0</v>
      </c>
      <c r="Q160" s="43">
        <f t="shared" si="120"/>
        <v>0</v>
      </c>
      <c r="R160" s="31">
        <f t="shared" si="126"/>
        <v>0</v>
      </c>
    </row>
    <row r="161" spans="1:18">
      <c r="A161" s="21"/>
      <c r="B161" s="41"/>
      <c r="C161" s="39" t="s">
        <v>212</v>
      </c>
      <c r="D161" s="27" t="e">
        <f t="shared" si="127"/>
        <v>#DIV/0!</v>
      </c>
      <c r="E161" s="43">
        <f t="shared" si="117"/>
        <v>0</v>
      </c>
      <c r="F161" s="54"/>
      <c r="G161" s="66">
        <f t="shared" si="121"/>
        <v>240.13499999999999</v>
      </c>
      <c r="H161" s="31">
        <f t="shared" si="122"/>
        <v>0</v>
      </c>
      <c r="I161" s="55">
        <f t="shared" si="123"/>
        <v>0</v>
      </c>
      <c r="J161" s="27" t="e">
        <f t="shared" si="128"/>
        <v>#DIV/0!</v>
      </c>
      <c r="K161" s="43">
        <f t="shared" si="119"/>
        <v>0</v>
      </c>
      <c r="L161" s="54"/>
      <c r="M161" s="250">
        <v>0</v>
      </c>
      <c r="N161" s="31">
        <f t="shared" si="124"/>
        <v>0</v>
      </c>
      <c r="O161" s="55">
        <f t="shared" si="125"/>
        <v>0</v>
      </c>
      <c r="P161" s="245">
        <v>0</v>
      </c>
      <c r="Q161" s="43">
        <f t="shared" si="120"/>
        <v>0</v>
      </c>
      <c r="R161" s="31">
        <f t="shared" si="126"/>
        <v>0</v>
      </c>
    </row>
    <row r="162" spans="1:18" ht="24">
      <c r="A162" s="21"/>
      <c r="B162" s="183" t="s">
        <v>53</v>
      </c>
      <c r="C162" s="39" t="s">
        <v>35</v>
      </c>
      <c r="D162" s="27" t="e">
        <f t="shared" si="127"/>
        <v>#DIV/0!</v>
      </c>
      <c r="E162" s="28"/>
      <c r="F162" s="54"/>
      <c r="G162" s="65"/>
      <c r="H162" s="31">
        <f>'Факт ПС за 3 года'!J105*'Факт ПС за 3 года'!K105</f>
        <v>0</v>
      </c>
      <c r="I162" s="55">
        <f t="shared" si="123"/>
        <v>0</v>
      </c>
      <c r="J162" s="27" t="e">
        <f t="shared" si="128"/>
        <v>#DIV/0!</v>
      </c>
      <c r="K162" s="28"/>
      <c r="L162" s="54"/>
      <c r="M162" s="65"/>
      <c r="N162" s="31">
        <f>'Факт ПС за 3 года'!P105*'Факт ПС за 3 года'!Q105</f>
        <v>0</v>
      </c>
      <c r="O162" s="55">
        <f t="shared" si="125"/>
        <v>0</v>
      </c>
      <c r="P162" s="57"/>
      <c r="Q162" s="28"/>
      <c r="R162" s="31">
        <f t="shared" si="126"/>
        <v>0</v>
      </c>
    </row>
    <row r="163" spans="1:18" ht="48.75" customHeight="1">
      <c r="A163" s="21"/>
      <c r="B163" s="25" t="s">
        <v>19</v>
      </c>
      <c r="C163" s="44" t="s">
        <v>40</v>
      </c>
      <c r="D163" s="35"/>
      <c r="E163" s="35"/>
      <c r="F163" s="70">
        <f>F13-F88</f>
        <v>0</v>
      </c>
      <c r="G163" s="69"/>
      <c r="H163" s="35"/>
      <c r="I163" s="70">
        <f>I13-I88</f>
        <v>0</v>
      </c>
      <c r="J163" s="35"/>
      <c r="K163" s="35"/>
      <c r="L163" s="70">
        <f>L13-L88</f>
        <v>0</v>
      </c>
      <c r="M163" s="69"/>
      <c r="N163" s="35"/>
      <c r="O163" s="70">
        <f>O13-O88</f>
        <v>0</v>
      </c>
      <c r="P163" s="58"/>
      <c r="Q163" s="35"/>
      <c r="R163" s="70">
        <f>R13-R88</f>
        <v>0</v>
      </c>
    </row>
    <row r="166" spans="1:18">
      <c r="B166" s="241" t="s">
        <v>6</v>
      </c>
      <c r="C166" s="240" t="s">
        <v>7</v>
      </c>
      <c r="D166" s="191"/>
      <c r="E166" s="243"/>
    </row>
    <row r="167" spans="1:18" ht="15">
      <c r="B167" s="239"/>
      <c r="C167" s="240" t="s">
        <v>8</v>
      </c>
      <c r="D167" s="240"/>
      <c r="E167" s="242" t="s">
        <v>243</v>
      </c>
    </row>
  </sheetData>
  <mergeCells count="11">
    <mergeCell ref="B126:C126"/>
    <mergeCell ref="P9:R9"/>
    <mergeCell ref="B14:C14"/>
    <mergeCell ref="B9:B11"/>
    <mergeCell ref="C9:C11"/>
    <mergeCell ref="D9:F9"/>
    <mergeCell ref="G9:I9"/>
    <mergeCell ref="B89:C89"/>
    <mergeCell ref="B51:C51"/>
    <mergeCell ref="J9:L9"/>
    <mergeCell ref="M9:O9"/>
  </mergeCells>
  <pageMargins left="0.78740157480314965" right="0.39370078740157483" top="0.39370078740157483" bottom="0.39370078740157483" header="0.31496062992125984" footer="0.31496062992125984"/>
  <pageSetup paperSize="9" scale="35" fitToHeight="0" orientation="portrait" horizontalDpi="180" verticalDpi="180" r:id="rId1"/>
  <rowBreaks count="1" manualBreakCount="1">
    <brk id="87" min="1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AP56"/>
  <sheetViews>
    <sheetView view="pageBreakPreview" zoomScale="80" zoomScaleNormal="70" zoomScaleSheetLayoutView="80" workbookViewId="0">
      <selection activeCell="B55" sqref="B55:E56"/>
    </sheetView>
  </sheetViews>
  <sheetFormatPr defaultRowHeight="12" outlineLevelRow="1" outlineLevelCol="1"/>
  <cols>
    <col min="1" max="1" width="2.85546875" style="122" customWidth="1"/>
    <col min="2" max="2" width="4.85546875" style="122" customWidth="1"/>
    <col min="3" max="3" width="13.28515625" style="123" customWidth="1"/>
    <col min="4" max="4" width="14.42578125" style="124" customWidth="1"/>
    <col min="5" max="5" width="24" style="122" customWidth="1"/>
    <col min="6" max="6" width="31.140625" style="122" customWidth="1"/>
    <col min="7" max="8" width="12.28515625" style="122" customWidth="1"/>
    <col min="9" max="9" width="8.85546875" style="125" customWidth="1"/>
    <col min="10" max="10" width="8.85546875" style="125" customWidth="1" outlineLevel="1"/>
    <col min="11" max="11" width="19.140625" style="155" customWidth="1" outlineLevel="1"/>
    <col min="12" max="12" width="14.5703125" style="126" customWidth="1" outlineLevel="1"/>
    <col min="13" max="17" width="13.85546875" style="126" customWidth="1" outlineLevel="1"/>
    <col min="18" max="18" width="18" style="125" customWidth="1"/>
    <col min="19" max="19" width="9.140625" style="122"/>
    <col min="20" max="20" width="12.85546875" style="122" customWidth="1"/>
    <col min="21" max="21" width="12.28515625" style="122" customWidth="1"/>
    <col min="22" max="16384" width="9.140625" style="122"/>
  </cols>
  <sheetData>
    <row r="1" spans="2:22" ht="25.5" customHeight="1">
      <c r="R1" s="155"/>
    </row>
    <row r="2" spans="2:22">
      <c r="B2" s="296" t="s">
        <v>180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54"/>
      <c r="N2" s="127"/>
      <c r="O2" s="127"/>
      <c r="P2" s="127"/>
      <c r="Q2" s="127"/>
    </row>
    <row r="3" spans="2:22">
      <c r="B3" s="128" t="str">
        <f>'1_до 15 кВт'!B7</f>
        <v>наименование ТСО</v>
      </c>
      <c r="C3" s="124"/>
      <c r="E3" s="124"/>
      <c r="F3" s="124"/>
      <c r="G3" s="124"/>
      <c r="H3" s="156"/>
      <c r="I3" s="124"/>
      <c r="J3" s="124"/>
      <c r="K3" s="156"/>
      <c r="L3" s="124"/>
      <c r="M3" s="154"/>
      <c r="N3" s="127"/>
      <c r="O3" s="127"/>
      <c r="P3" s="127"/>
      <c r="Q3" s="127"/>
    </row>
    <row r="4" spans="2:22">
      <c r="B4" s="140" t="s">
        <v>233</v>
      </c>
      <c r="C4" s="124"/>
      <c r="E4" s="124"/>
      <c r="F4" s="124"/>
      <c r="G4" s="124"/>
      <c r="H4" s="156"/>
      <c r="I4" s="124"/>
      <c r="J4" s="124"/>
      <c r="K4" s="156"/>
      <c r="L4" s="124"/>
      <c r="M4" s="154"/>
      <c r="N4" s="127"/>
      <c r="O4" s="127"/>
      <c r="P4" s="127"/>
      <c r="Q4" s="127"/>
    </row>
    <row r="5" spans="2:22" ht="21.75" customHeight="1"/>
    <row r="6" spans="2:22" ht="64.5" customHeight="1">
      <c r="B6" s="297" t="s">
        <v>144</v>
      </c>
      <c r="C6" s="297" t="s">
        <v>145</v>
      </c>
      <c r="D6" s="297"/>
      <c r="E6" s="297" t="s">
        <v>146</v>
      </c>
      <c r="F6" s="297" t="s">
        <v>176</v>
      </c>
      <c r="G6" s="298" t="s">
        <v>159</v>
      </c>
      <c r="H6" s="308" t="s">
        <v>181</v>
      </c>
      <c r="I6" s="299" t="s">
        <v>178</v>
      </c>
      <c r="J6" s="299"/>
      <c r="K6" s="305" t="s">
        <v>179</v>
      </c>
      <c r="L6" s="300" t="s">
        <v>148</v>
      </c>
      <c r="M6" s="301"/>
      <c r="N6" s="301"/>
      <c r="O6" s="301"/>
      <c r="P6" s="301"/>
      <c r="Q6" s="302"/>
      <c r="R6" s="297" t="s">
        <v>149</v>
      </c>
    </row>
    <row r="7" spans="2:22" ht="102" customHeight="1">
      <c r="B7" s="297"/>
      <c r="C7" s="311" t="s">
        <v>150</v>
      </c>
      <c r="D7" s="303" t="s">
        <v>90</v>
      </c>
      <c r="E7" s="297"/>
      <c r="F7" s="297"/>
      <c r="G7" s="298"/>
      <c r="H7" s="309"/>
      <c r="I7" s="299" t="s">
        <v>151</v>
      </c>
      <c r="J7" s="299" t="s">
        <v>183</v>
      </c>
      <c r="K7" s="306"/>
      <c r="L7" s="297" t="s">
        <v>162</v>
      </c>
      <c r="M7" s="303" t="s">
        <v>163</v>
      </c>
      <c r="N7" s="303" t="s">
        <v>72</v>
      </c>
      <c r="O7" s="303" t="s">
        <v>73</v>
      </c>
      <c r="P7" s="303" t="s">
        <v>160</v>
      </c>
      <c r="Q7" s="303" t="s">
        <v>161</v>
      </c>
      <c r="R7" s="297"/>
    </row>
    <row r="8" spans="2:22" ht="12.75" customHeight="1">
      <c r="B8" s="297"/>
      <c r="C8" s="311"/>
      <c r="D8" s="304"/>
      <c r="E8" s="297"/>
      <c r="F8" s="297"/>
      <c r="G8" s="298"/>
      <c r="H8" s="310"/>
      <c r="I8" s="299"/>
      <c r="J8" s="299"/>
      <c r="K8" s="307"/>
      <c r="L8" s="297"/>
      <c r="M8" s="304"/>
      <c r="N8" s="304"/>
      <c r="O8" s="304"/>
      <c r="P8" s="304"/>
      <c r="Q8" s="304"/>
      <c r="R8" s="297"/>
    </row>
    <row r="9" spans="2:22" ht="12.75" customHeight="1">
      <c r="B9" s="318" t="s">
        <v>234</v>
      </c>
      <c r="C9" s="319"/>
      <c r="D9" s="319"/>
      <c r="E9" s="319"/>
      <c r="F9" s="319"/>
      <c r="G9" s="319"/>
      <c r="H9" s="320"/>
      <c r="I9" s="148">
        <f>SUM(I10,I17,I24)</f>
        <v>5</v>
      </c>
      <c r="J9" s="148">
        <f>SUM(J10,J17,J24)</f>
        <v>3</v>
      </c>
      <c r="K9" s="157"/>
      <c r="L9" s="148">
        <f>SUM(M9:Q9)</f>
        <v>50000</v>
      </c>
      <c r="M9" s="148">
        <f>SUM(M10,M17,M24)</f>
        <v>0</v>
      </c>
      <c r="N9" s="148">
        <f>SUM(N10,N17,N24)</f>
        <v>10000</v>
      </c>
      <c r="O9" s="148">
        <f>SUM(O10,O17,O24)</f>
        <v>0</v>
      </c>
      <c r="P9" s="148">
        <f>SUM(P10,P17,P24)</f>
        <v>0</v>
      </c>
      <c r="Q9" s="148">
        <f>SUM(Q10,Q17,Q24)</f>
        <v>40000</v>
      </c>
      <c r="R9" s="152"/>
    </row>
    <row r="10" spans="2:22" ht="12.75" customHeight="1" outlineLevel="1">
      <c r="B10" s="315" t="s">
        <v>154</v>
      </c>
      <c r="C10" s="316"/>
      <c r="D10" s="316"/>
      <c r="E10" s="316"/>
      <c r="F10" s="316"/>
      <c r="G10" s="316"/>
      <c r="H10" s="317"/>
      <c r="I10" s="148">
        <f>SUM(I11:I16)</f>
        <v>5</v>
      </c>
      <c r="J10" s="148">
        <f>SUM(J11:J16)</f>
        <v>3</v>
      </c>
      <c r="K10" s="157"/>
      <c r="L10" s="148">
        <f>SUM(L11:L16)</f>
        <v>50000</v>
      </c>
      <c r="M10" s="148">
        <f>SUM(M11:M16)</f>
        <v>0</v>
      </c>
      <c r="N10" s="148">
        <f>SUM(N11:N16)</f>
        <v>10000</v>
      </c>
      <c r="O10" s="148">
        <f t="shared" ref="O10:Q10" si="0">SUM(O11:O16)</f>
        <v>0</v>
      </c>
      <c r="P10" s="148">
        <f t="shared" si="0"/>
        <v>0</v>
      </c>
      <c r="Q10" s="148">
        <f t="shared" si="0"/>
        <v>40000</v>
      </c>
      <c r="R10" s="157"/>
    </row>
    <row r="11" spans="2:22" s="129" customFormat="1" ht="37.5" customHeight="1" outlineLevel="1">
      <c r="B11" s="130">
        <v>1</v>
      </c>
      <c r="C11" s="224">
        <v>42014</v>
      </c>
      <c r="D11" s="225" t="s">
        <v>230</v>
      </c>
      <c r="E11" s="226" t="s">
        <v>156</v>
      </c>
      <c r="F11" s="226" t="s">
        <v>177</v>
      </c>
      <c r="G11" s="226" t="s">
        <v>155</v>
      </c>
      <c r="H11" s="226" t="s">
        <v>236</v>
      </c>
      <c r="I11" s="227">
        <v>5</v>
      </c>
      <c r="J11" s="227">
        <v>3</v>
      </c>
      <c r="K11" s="228" t="s">
        <v>182</v>
      </c>
      <c r="L11" s="225">
        <f>SUM(M11:Q11)</f>
        <v>50000</v>
      </c>
      <c r="M11" s="225"/>
      <c r="N11" s="225">
        <v>10000</v>
      </c>
      <c r="O11" s="225"/>
      <c r="P11" s="225"/>
      <c r="Q11" s="225">
        <v>40000</v>
      </c>
      <c r="R11" s="225" t="s">
        <v>231</v>
      </c>
      <c r="S11" s="129" t="s">
        <v>232</v>
      </c>
    </row>
    <row r="12" spans="2:22" s="129" customFormat="1" outlineLevel="1">
      <c r="B12" s="130">
        <v>2</v>
      </c>
      <c r="C12" s="142"/>
      <c r="D12" s="143"/>
      <c r="E12" s="143"/>
      <c r="F12" s="143"/>
      <c r="G12" s="143"/>
      <c r="H12" s="143"/>
      <c r="I12" s="144"/>
      <c r="J12" s="144"/>
      <c r="K12" s="144"/>
      <c r="L12" s="145">
        <f t="shared" ref="L12:L16" si="1">SUM(M12:Q12)</f>
        <v>0</v>
      </c>
      <c r="M12" s="145"/>
      <c r="N12" s="145"/>
      <c r="O12" s="145"/>
      <c r="P12" s="145"/>
      <c r="Q12" s="145"/>
      <c r="R12" s="145"/>
    </row>
    <row r="13" spans="2:22" s="129" customFormat="1" outlineLevel="1">
      <c r="B13" s="130">
        <v>3</v>
      </c>
      <c r="C13" s="142"/>
      <c r="D13" s="143"/>
      <c r="E13" s="143"/>
      <c r="F13" s="143"/>
      <c r="G13" s="143"/>
      <c r="H13" s="143"/>
      <c r="I13" s="144"/>
      <c r="J13" s="144"/>
      <c r="K13" s="144"/>
      <c r="L13" s="145">
        <f t="shared" si="1"/>
        <v>0</v>
      </c>
      <c r="M13" s="145"/>
      <c r="N13" s="145"/>
      <c r="O13" s="145"/>
      <c r="P13" s="145"/>
      <c r="Q13" s="145"/>
      <c r="R13" s="145"/>
    </row>
    <row r="14" spans="2:22" s="129" customFormat="1" outlineLevel="1">
      <c r="B14" s="130">
        <v>4</v>
      </c>
      <c r="C14" s="142"/>
      <c r="D14" s="143"/>
      <c r="E14" s="143"/>
      <c r="F14" s="143"/>
      <c r="G14" s="143"/>
      <c r="H14" s="143"/>
      <c r="I14" s="147"/>
      <c r="J14" s="144"/>
      <c r="K14" s="144"/>
      <c r="L14" s="145">
        <f t="shared" si="1"/>
        <v>0</v>
      </c>
      <c r="M14" s="145"/>
      <c r="N14" s="145"/>
      <c r="O14" s="145"/>
      <c r="P14" s="145"/>
      <c r="Q14" s="145"/>
      <c r="R14" s="145"/>
      <c r="T14" s="131"/>
      <c r="U14" s="131"/>
      <c r="V14" s="131"/>
    </row>
    <row r="15" spans="2:22" s="129" customFormat="1" outlineLevel="1">
      <c r="B15" s="130">
        <v>5</v>
      </c>
      <c r="C15" s="142"/>
      <c r="D15" s="143"/>
      <c r="E15" s="143"/>
      <c r="F15" s="143"/>
      <c r="G15" s="143"/>
      <c r="H15" s="143"/>
      <c r="I15" s="144"/>
      <c r="J15" s="144"/>
      <c r="K15" s="144"/>
      <c r="L15" s="145">
        <f t="shared" si="1"/>
        <v>0</v>
      </c>
      <c r="M15" s="145"/>
      <c r="N15" s="145"/>
      <c r="O15" s="145"/>
      <c r="P15" s="145"/>
      <c r="Q15" s="145"/>
      <c r="R15" s="145"/>
      <c r="T15" s="131"/>
      <c r="U15" s="131"/>
      <c r="V15" s="131"/>
    </row>
    <row r="16" spans="2:22" s="129" customFormat="1" outlineLevel="1">
      <c r="B16" s="141" t="s">
        <v>157</v>
      </c>
      <c r="C16" s="142"/>
      <c r="D16" s="143"/>
      <c r="E16" s="143"/>
      <c r="F16" s="143"/>
      <c r="G16" s="143"/>
      <c r="H16" s="143"/>
      <c r="I16" s="144"/>
      <c r="J16" s="144"/>
      <c r="K16" s="144"/>
      <c r="L16" s="145">
        <f t="shared" si="1"/>
        <v>0</v>
      </c>
      <c r="M16" s="145"/>
      <c r="N16" s="145"/>
      <c r="O16" s="145"/>
      <c r="P16" s="145"/>
      <c r="Q16" s="145"/>
      <c r="R16" s="145"/>
      <c r="T16" s="131"/>
      <c r="U16" s="131"/>
      <c r="V16" s="131"/>
    </row>
    <row r="17" spans="2:42" s="129" customFormat="1" ht="23.25" customHeight="1" outlineLevel="1">
      <c r="B17" s="315" t="s">
        <v>158</v>
      </c>
      <c r="C17" s="316"/>
      <c r="D17" s="316"/>
      <c r="E17" s="316"/>
      <c r="F17" s="316"/>
      <c r="G17" s="316"/>
      <c r="H17" s="317"/>
      <c r="I17" s="148">
        <f>SUM(I18:I22)</f>
        <v>0</v>
      </c>
      <c r="J17" s="148">
        <f>SUM(J18:J22)</f>
        <v>0</v>
      </c>
      <c r="K17" s="148"/>
      <c r="L17" s="148">
        <f>SUM(L18:L22)</f>
        <v>0</v>
      </c>
      <c r="M17" s="148">
        <f>SUM(M18:M23)</f>
        <v>0</v>
      </c>
      <c r="N17" s="148">
        <f>SUM(N18:N23)</f>
        <v>0</v>
      </c>
      <c r="O17" s="148">
        <f t="shared" ref="O17" si="2">SUM(O18:O23)</f>
        <v>0</v>
      </c>
      <c r="P17" s="148">
        <f t="shared" ref="P17" si="3">SUM(P18:P23)</f>
        <v>0</v>
      </c>
      <c r="Q17" s="148">
        <f t="shared" ref="Q17" si="4">SUM(Q18:Q23)</f>
        <v>0</v>
      </c>
      <c r="R17" s="149"/>
      <c r="T17" s="131"/>
      <c r="U17" s="131"/>
      <c r="V17" s="131"/>
    </row>
    <row r="18" spans="2:42" s="129" customFormat="1" outlineLevel="1">
      <c r="B18" s="130">
        <v>1</v>
      </c>
      <c r="C18" s="142"/>
      <c r="D18" s="143"/>
      <c r="E18" s="143"/>
      <c r="F18" s="143"/>
      <c r="G18" s="143"/>
      <c r="H18" s="143"/>
      <c r="I18" s="144"/>
      <c r="J18" s="144"/>
      <c r="K18" s="144"/>
      <c r="L18" s="145">
        <f>SUM(M18:Q18)</f>
        <v>0</v>
      </c>
      <c r="M18" s="145"/>
      <c r="N18" s="145"/>
      <c r="O18" s="145"/>
      <c r="P18" s="145"/>
      <c r="Q18" s="145"/>
      <c r="R18" s="145"/>
      <c r="T18" s="131"/>
      <c r="U18" s="131"/>
      <c r="V18" s="131"/>
    </row>
    <row r="19" spans="2:42" s="129" customFormat="1" outlineLevel="1">
      <c r="B19" s="130">
        <v>2</v>
      </c>
      <c r="C19" s="142"/>
      <c r="D19" s="143"/>
      <c r="E19" s="143"/>
      <c r="F19" s="143"/>
      <c r="G19" s="143"/>
      <c r="H19" s="143"/>
      <c r="I19" s="144"/>
      <c r="J19" s="144"/>
      <c r="K19" s="144"/>
      <c r="L19" s="145">
        <f t="shared" ref="L19:L23" si="5">SUM(M19:Q19)</f>
        <v>0</v>
      </c>
      <c r="M19" s="145"/>
      <c r="N19" s="145"/>
      <c r="O19" s="145"/>
      <c r="P19" s="145"/>
      <c r="Q19" s="145"/>
      <c r="R19" s="145"/>
      <c r="T19" s="131"/>
      <c r="U19" s="131"/>
      <c r="V19" s="131"/>
      <c r="AP19" s="129" t="s">
        <v>153</v>
      </c>
    </row>
    <row r="20" spans="2:42" s="129" customFormat="1" outlineLevel="1">
      <c r="B20" s="130">
        <v>3</v>
      </c>
      <c r="C20" s="142"/>
      <c r="D20" s="143"/>
      <c r="E20" s="143"/>
      <c r="F20" s="143"/>
      <c r="G20" s="143"/>
      <c r="H20" s="143"/>
      <c r="I20" s="144"/>
      <c r="J20" s="144"/>
      <c r="K20" s="144"/>
      <c r="L20" s="145">
        <f t="shared" si="5"/>
        <v>0</v>
      </c>
      <c r="M20" s="145"/>
      <c r="N20" s="145"/>
      <c r="O20" s="145"/>
      <c r="P20" s="145"/>
      <c r="Q20" s="145"/>
      <c r="R20" s="145"/>
      <c r="T20" s="131"/>
      <c r="U20" s="131"/>
      <c r="V20" s="131"/>
    </row>
    <row r="21" spans="2:42" s="129" customFormat="1" outlineLevel="1">
      <c r="B21" s="130">
        <v>4</v>
      </c>
      <c r="C21" s="142"/>
      <c r="D21" s="143"/>
      <c r="E21" s="143"/>
      <c r="F21" s="143"/>
      <c r="G21" s="143"/>
      <c r="H21" s="143"/>
      <c r="I21" s="144"/>
      <c r="J21" s="144"/>
      <c r="K21" s="144"/>
      <c r="L21" s="145">
        <f t="shared" si="5"/>
        <v>0</v>
      </c>
      <c r="M21" s="145"/>
      <c r="N21" s="145"/>
      <c r="O21" s="145"/>
      <c r="P21" s="145"/>
      <c r="Q21" s="145"/>
      <c r="R21" s="145"/>
      <c r="T21" s="131"/>
      <c r="U21" s="131"/>
      <c r="V21" s="131"/>
    </row>
    <row r="22" spans="2:42" s="129" customFormat="1" outlineLevel="1">
      <c r="B22" s="130">
        <v>5</v>
      </c>
      <c r="C22" s="142"/>
      <c r="D22" s="143"/>
      <c r="E22" s="143"/>
      <c r="F22" s="143"/>
      <c r="G22" s="143"/>
      <c r="H22" s="143"/>
      <c r="I22" s="144"/>
      <c r="J22" s="144"/>
      <c r="K22" s="144"/>
      <c r="L22" s="145">
        <f t="shared" si="5"/>
        <v>0</v>
      </c>
      <c r="M22" s="145"/>
      <c r="N22" s="145"/>
      <c r="O22" s="145"/>
      <c r="P22" s="145"/>
      <c r="Q22" s="145"/>
      <c r="R22" s="145"/>
      <c r="T22" s="131"/>
      <c r="U22" s="131"/>
      <c r="V22" s="131"/>
    </row>
    <row r="23" spans="2:42" s="129" customFormat="1" outlineLevel="1">
      <c r="B23" s="141" t="s">
        <v>157</v>
      </c>
      <c r="C23" s="142"/>
      <c r="D23" s="143"/>
      <c r="E23" s="143"/>
      <c r="F23" s="143"/>
      <c r="G23" s="143"/>
      <c r="H23" s="143"/>
      <c r="I23" s="144"/>
      <c r="J23" s="144"/>
      <c r="K23" s="144"/>
      <c r="L23" s="145">
        <f t="shared" si="5"/>
        <v>0</v>
      </c>
      <c r="M23" s="145"/>
      <c r="N23" s="145"/>
      <c r="O23" s="145"/>
      <c r="P23" s="145"/>
      <c r="Q23" s="145"/>
      <c r="R23" s="145"/>
      <c r="T23" s="131"/>
      <c r="U23" s="131"/>
      <c r="V23" s="131"/>
    </row>
    <row r="24" spans="2:42" s="129" customFormat="1" ht="24" customHeight="1" outlineLevel="1">
      <c r="B24" s="315" t="s">
        <v>229</v>
      </c>
      <c r="C24" s="316"/>
      <c r="D24" s="316"/>
      <c r="E24" s="316"/>
      <c r="F24" s="316"/>
      <c r="G24" s="316"/>
      <c r="H24" s="317"/>
      <c r="I24" s="148">
        <f>SUM(I25:I29)</f>
        <v>0</v>
      </c>
      <c r="J24" s="148">
        <f>SUM(J25:J29)</f>
        <v>0</v>
      </c>
      <c r="K24" s="148"/>
      <c r="L24" s="148">
        <f>SUM(L25:L29)</f>
        <v>0</v>
      </c>
      <c r="M24" s="148">
        <f>SUM(M25:M30)</f>
        <v>0</v>
      </c>
      <c r="N24" s="148">
        <f>SUM(N25:N30)</f>
        <v>0</v>
      </c>
      <c r="O24" s="148">
        <f t="shared" ref="O24" si="6">SUM(O25:O30)</f>
        <v>0</v>
      </c>
      <c r="P24" s="148">
        <f t="shared" ref="P24" si="7">SUM(P25:P30)</f>
        <v>0</v>
      </c>
      <c r="Q24" s="148">
        <f t="shared" ref="Q24" si="8">SUM(Q25:Q30)</f>
        <v>0</v>
      </c>
      <c r="R24" s="149"/>
      <c r="T24" s="131"/>
      <c r="U24" s="131"/>
      <c r="V24" s="131"/>
    </row>
    <row r="25" spans="2:42" s="129" customFormat="1" outlineLevel="1">
      <c r="B25" s="130">
        <v>1</v>
      </c>
      <c r="C25" s="142"/>
      <c r="D25" s="143"/>
      <c r="E25" s="143"/>
      <c r="F25" s="143"/>
      <c r="G25" s="143"/>
      <c r="H25" s="143"/>
      <c r="I25" s="144"/>
      <c r="J25" s="144"/>
      <c r="K25" s="144"/>
      <c r="L25" s="145">
        <f>SUM(M25:Q25)</f>
        <v>0</v>
      </c>
      <c r="M25" s="145"/>
      <c r="N25" s="145"/>
      <c r="O25" s="145"/>
      <c r="P25" s="145"/>
      <c r="Q25" s="145"/>
      <c r="R25" s="145"/>
      <c r="T25" s="131"/>
      <c r="U25" s="131"/>
      <c r="V25" s="131"/>
    </row>
    <row r="26" spans="2:42" s="129" customFormat="1" outlineLevel="1">
      <c r="B26" s="130">
        <v>2</v>
      </c>
      <c r="C26" s="142"/>
      <c r="D26" s="143"/>
      <c r="E26" s="143"/>
      <c r="F26" s="143"/>
      <c r="G26" s="143"/>
      <c r="H26" s="143"/>
      <c r="I26" s="144"/>
      <c r="J26" s="144"/>
      <c r="K26" s="144"/>
      <c r="L26" s="145">
        <f>SUM(M26:Q26)</f>
        <v>0</v>
      </c>
      <c r="M26" s="145"/>
      <c r="N26" s="145"/>
      <c r="O26" s="145"/>
      <c r="P26" s="145"/>
      <c r="Q26" s="145"/>
      <c r="R26" s="145"/>
      <c r="T26" s="131"/>
      <c r="U26" s="131"/>
      <c r="V26" s="131"/>
    </row>
    <row r="27" spans="2:42" s="129" customFormat="1" outlineLevel="1">
      <c r="B27" s="130">
        <v>3</v>
      </c>
      <c r="C27" s="142"/>
      <c r="D27" s="143"/>
      <c r="E27" s="143"/>
      <c r="F27" s="143"/>
      <c r="G27" s="143"/>
      <c r="H27" s="143"/>
      <c r="I27" s="144"/>
      <c r="J27" s="144"/>
      <c r="K27" s="144"/>
      <c r="L27" s="145">
        <f t="shared" ref="L27:L30" si="9">SUM(M27:Q27)</f>
        <v>0</v>
      </c>
      <c r="M27" s="145"/>
      <c r="N27" s="145"/>
      <c r="O27" s="145"/>
      <c r="P27" s="145"/>
      <c r="Q27" s="145"/>
      <c r="R27" s="145"/>
      <c r="T27" s="131"/>
      <c r="U27" s="131"/>
      <c r="V27" s="131"/>
    </row>
    <row r="28" spans="2:42" s="129" customFormat="1" outlineLevel="1">
      <c r="B28" s="130">
        <v>4</v>
      </c>
      <c r="C28" s="142"/>
      <c r="D28" s="143"/>
      <c r="E28" s="143"/>
      <c r="F28" s="143"/>
      <c r="G28" s="143"/>
      <c r="H28" s="143"/>
      <c r="I28" s="144"/>
      <c r="J28" s="144"/>
      <c r="K28" s="144"/>
      <c r="L28" s="145">
        <f t="shared" si="9"/>
        <v>0</v>
      </c>
      <c r="M28" s="145"/>
      <c r="N28" s="145"/>
      <c r="O28" s="145"/>
      <c r="P28" s="145"/>
      <c r="Q28" s="145"/>
      <c r="R28" s="145"/>
      <c r="T28" s="131"/>
      <c r="U28" s="131"/>
      <c r="V28" s="131"/>
    </row>
    <row r="29" spans="2:42" s="129" customFormat="1" outlineLevel="1">
      <c r="B29" s="130">
        <v>5</v>
      </c>
      <c r="C29" s="142"/>
      <c r="D29" s="143"/>
      <c r="E29" s="143"/>
      <c r="F29" s="143"/>
      <c r="G29" s="143"/>
      <c r="H29" s="143"/>
      <c r="I29" s="144"/>
      <c r="J29" s="144"/>
      <c r="K29" s="144"/>
      <c r="L29" s="145">
        <f t="shared" si="9"/>
        <v>0</v>
      </c>
      <c r="M29" s="145"/>
      <c r="N29" s="145"/>
      <c r="O29" s="145"/>
      <c r="P29" s="145"/>
      <c r="Q29" s="145"/>
      <c r="R29" s="145"/>
      <c r="T29" s="131"/>
      <c r="U29" s="131"/>
      <c r="V29" s="131"/>
    </row>
    <row r="30" spans="2:42" s="129" customFormat="1" ht="12.75" outlineLevel="1" thickBot="1">
      <c r="B30" s="231" t="s">
        <v>157</v>
      </c>
      <c r="C30" s="232"/>
      <c r="D30" s="233"/>
      <c r="E30" s="233"/>
      <c r="F30" s="233"/>
      <c r="G30" s="233"/>
      <c r="H30" s="233"/>
      <c r="I30" s="234"/>
      <c r="J30" s="234"/>
      <c r="K30" s="234"/>
      <c r="L30" s="235">
        <f t="shared" si="9"/>
        <v>0</v>
      </c>
      <c r="M30" s="235"/>
      <c r="N30" s="235"/>
      <c r="O30" s="235"/>
      <c r="P30" s="235"/>
      <c r="Q30" s="235"/>
      <c r="R30" s="235"/>
      <c r="T30" s="131"/>
      <c r="U30" s="131"/>
      <c r="V30" s="131"/>
    </row>
    <row r="31" spans="2:42" s="129" customFormat="1" ht="18">
      <c r="B31" s="312" t="s">
        <v>235</v>
      </c>
      <c r="C31" s="313"/>
      <c r="D31" s="313"/>
      <c r="E31" s="313"/>
      <c r="F31" s="313"/>
      <c r="G31" s="313"/>
      <c r="H31" s="314"/>
      <c r="I31" s="229">
        <f>SUM(I32,I39,I46)</f>
        <v>0</v>
      </c>
      <c r="J31" s="229">
        <f>SUM(J32,J39,J46)</f>
        <v>0</v>
      </c>
      <c r="K31" s="230"/>
      <c r="L31" s="229">
        <f>SUM(M31:Q31)</f>
        <v>0</v>
      </c>
      <c r="M31" s="229">
        <f>SUM(M32,M39,M46)</f>
        <v>0</v>
      </c>
      <c r="N31" s="229">
        <f>SUM(N32,N39,N46)</f>
        <v>0</v>
      </c>
      <c r="O31" s="229">
        <f>SUM(O32,O39,O46)</f>
        <v>0</v>
      </c>
      <c r="P31" s="229">
        <f>SUM(P32,P39,P46)</f>
        <v>0</v>
      </c>
      <c r="Q31" s="229">
        <f>SUM(Q32,Q39,Q46)</f>
        <v>0</v>
      </c>
      <c r="R31" s="220"/>
    </row>
    <row r="32" spans="2:42" s="129" customFormat="1" outlineLevel="1">
      <c r="B32" s="315" t="s">
        <v>154</v>
      </c>
      <c r="C32" s="316"/>
      <c r="D32" s="316"/>
      <c r="E32" s="316"/>
      <c r="F32" s="316"/>
      <c r="G32" s="316"/>
      <c r="H32" s="317"/>
      <c r="I32" s="148">
        <f>SUM(I33:I38)</f>
        <v>0</v>
      </c>
      <c r="J32" s="148">
        <f>SUM(J33:J38)</f>
        <v>0</v>
      </c>
      <c r="K32" s="157"/>
      <c r="L32" s="148">
        <f>SUM(L33:L38)</f>
        <v>0</v>
      </c>
      <c r="M32" s="148">
        <f>SUM(M33:M38)</f>
        <v>0</v>
      </c>
      <c r="N32" s="148">
        <f>SUM(N33:N38)</f>
        <v>0</v>
      </c>
      <c r="O32" s="148">
        <f t="shared" ref="O32:Q32" si="10">SUM(O33:O38)</f>
        <v>0</v>
      </c>
      <c r="P32" s="148">
        <f t="shared" si="10"/>
        <v>0</v>
      </c>
      <c r="Q32" s="148">
        <f t="shared" si="10"/>
        <v>0</v>
      </c>
      <c r="R32" s="157"/>
    </row>
    <row r="33" spans="2:18" s="129" customFormat="1" outlineLevel="1">
      <c r="B33" s="130">
        <v>1</v>
      </c>
      <c r="C33" s="224"/>
      <c r="D33" s="225"/>
      <c r="E33" s="226"/>
      <c r="F33" s="226"/>
      <c r="G33" s="226"/>
      <c r="H33" s="226"/>
      <c r="I33" s="227"/>
      <c r="J33" s="227"/>
      <c r="K33" s="228"/>
      <c r="L33" s="225"/>
      <c r="M33" s="225"/>
      <c r="N33" s="225"/>
      <c r="O33" s="225"/>
      <c r="P33" s="225"/>
      <c r="Q33" s="225"/>
      <c r="R33" s="225"/>
    </row>
    <row r="34" spans="2:18" s="129" customFormat="1" outlineLevel="1">
      <c r="B34" s="130">
        <v>2</v>
      </c>
      <c r="C34" s="142"/>
      <c r="D34" s="143"/>
      <c r="E34" s="143"/>
      <c r="F34" s="143"/>
      <c r="G34" s="143"/>
      <c r="H34" s="143"/>
      <c r="I34" s="144"/>
      <c r="J34" s="144"/>
      <c r="K34" s="144"/>
      <c r="L34" s="145">
        <f t="shared" ref="L34:L38" si="11">SUM(M34:Q34)</f>
        <v>0</v>
      </c>
      <c r="M34" s="145"/>
      <c r="N34" s="145"/>
      <c r="O34" s="145"/>
      <c r="P34" s="145"/>
      <c r="Q34" s="145"/>
      <c r="R34" s="145"/>
    </row>
    <row r="35" spans="2:18" s="129" customFormat="1" outlineLevel="1">
      <c r="B35" s="130">
        <v>3</v>
      </c>
      <c r="C35" s="142"/>
      <c r="D35" s="143"/>
      <c r="E35" s="143"/>
      <c r="F35" s="143"/>
      <c r="G35" s="143"/>
      <c r="H35" s="143"/>
      <c r="I35" s="144"/>
      <c r="J35" s="144"/>
      <c r="K35" s="144"/>
      <c r="L35" s="145">
        <f t="shared" si="11"/>
        <v>0</v>
      </c>
      <c r="M35" s="145"/>
      <c r="N35" s="145"/>
      <c r="O35" s="145"/>
      <c r="P35" s="145"/>
      <c r="Q35" s="145"/>
      <c r="R35" s="145"/>
    </row>
    <row r="36" spans="2:18" outlineLevel="1">
      <c r="B36" s="130">
        <v>4</v>
      </c>
      <c r="C36" s="142"/>
      <c r="D36" s="143"/>
      <c r="E36" s="143"/>
      <c r="F36" s="143"/>
      <c r="G36" s="143"/>
      <c r="H36" s="143"/>
      <c r="I36" s="147"/>
      <c r="J36" s="144"/>
      <c r="K36" s="144"/>
      <c r="L36" s="145">
        <f t="shared" si="11"/>
        <v>0</v>
      </c>
      <c r="M36" s="145"/>
      <c r="N36" s="145"/>
      <c r="O36" s="145"/>
      <c r="P36" s="145"/>
      <c r="Q36" s="145"/>
      <c r="R36" s="145"/>
    </row>
    <row r="37" spans="2:18" outlineLevel="1">
      <c r="B37" s="130">
        <v>5</v>
      </c>
      <c r="C37" s="142"/>
      <c r="D37" s="143"/>
      <c r="E37" s="143"/>
      <c r="F37" s="143"/>
      <c r="G37" s="143"/>
      <c r="H37" s="143"/>
      <c r="I37" s="144"/>
      <c r="J37" s="144"/>
      <c r="K37" s="144"/>
      <c r="L37" s="145">
        <f t="shared" si="11"/>
        <v>0</v>
      </c>
      <c r="M37" s="145"/>
      <c r="N37" s="145"/>
      <c r="O37" s="145"/>
      <c r="P37" s="145"/>
      <c r="Q37" s="145"/>
      <c r="R37" s="145"/>
    </row>
    <row r="38" spans="2:18" outlineLevel="1">
      <c r="B38" s="141" t="s">
        <v>157</v>
      </c>
      <c r="C38" s="142"/>
      <c r="D38" s="143"/>
      <c r="E38" s="143"/>
      <c r="F38" s="143"/>
      <c r="G38" s="143"/>
      <c r="H38" s="143"/>
      <c r="I38" s="144"/>
      <c r="J38" s="144"/>
      <c r="K38" s="144"/>
      <c r="L38" s="145">
        <f t="shared" si="11"/>
        <v>0</v>
      </c>
      <c r="M38" s="145"/>
      <c r="N38" s="145"/>
      <c r="O38" s="145"/>
      <c r="P38" s="145"/>
      <c r="Q38" s="145"/>
      <c r="R38" s="145"/>
    </row>
    <row r="39" spans="2:18" outlineLevel="1">
      <c r="B39" s="315" t="s">
        <v>158</v>
      </c>
      <c r="C39" s="316"/>
      <c r="D39" s="316"/>
      <c r="E39" s="316"/>
      <c r="F39" s="316"/>
      <c r="G39" s="316"/>
      <c r="H39" s="317"/>
      <c r="I39" s="148">
        <f>SUM(I40:I44)</f>
        <v>0</v>
      </c>
      <c r="J39" s="148">
        <f>SUM(J40:J44)</f>
        <v>0</v>
      </c>
      <c r="K39" s="148"/>
      <c r="L39" s="148">
        <f>SUM(L40:L44)</f>
        <v>0</v>
      </c>
      <c r="M39" s="148">
        <f>SUM(M40:M45)</f>
        <v>0</v>
      </c>
      <c r="N39" s="148">
        <f>SUM(N40:N45)</f>
        <v>0</v>
      </c>
      <c r="O39" s="148">
        <f t="shared" ref="O39:Q39" si="12">SUM(O40:O45)</f>
        <v>0</v>
      </c>
      <c r="P39" s="148">
        <f t="shared" si="12"/>
        <v>0</v>
      </c>
      <c r="Q39" s="148">
        <f t="shared" si="12"/>
        <v>0</v>
      </c>
      <c r="R39" s="149"/>
    </row>
    <row r="40" spans="2:18" outlineLevel="1">
      <c r="B40" s="130">
        <v>1</v>
      </c>
      <c r="C40" s="142"/>
      <c r="D40" s="143"/>
      <c r="E40" s="143"/>
      <c r="F40" s="143"/>
      <c r="G40" s="143"/>
      <c r="H40" s="143"/>
      <c r="I40" s="144"/>
      <c r="J40" s="144"/>
      <c r="K40" s="144"/>
      <c r="L40" s="145">
        <f>SUM(M40:Q40)</f>
        <v>0</v>
      </c>
      <c r="M40" s="145"/>
      <c r="N40" s="145"/>
      <c r="O40" s="145"/>
      <c r="P40" s="145"/>
      <c r="Q40" s="145"/>
      <c r="R40" s="145"/>
    </row>
    <row r="41" spans="2:18" outlineLevel="1">
      <c r="B41" s="130">
        <v>2</v>
      </c>
      <c r="C41" s="142"/>
      <c r="D41" s="143"/>
      <c r="E41" s="143"/>
      <c r="F41" s="143"/>
      <c r="G41" s="143"/>
      <c r="H41" s="143"/>
      <c r="I41" s="144"/>
      <c r="J41" s="144"/>
      <c r="K41" s="144"/>
      <c r="L41" s="145">
        <f t="shared" ref="L41:L45" si="13">SUM(M41:Q41)</f>
        <v>0</v>
      </c>
      <c r="M41" s="145"/>
      <c r="N41" s="145"/>
      <c r="O41" s="145"/>
      <c r="P41" s="145"/>
      <c r="Q41" s="145"/>
      <c r="R41" s="145"/>
    </row>
    <row r="42" spans="2:18" outlineLevel="1">
      <c r="B42" s="130">
        <v>3</v>
      </c>
      <c r="C42" s="142"/>
      <c r="D42" s="143"/>
      <c r="E42" s="143"/>
      <c r="F42" s="143"/>
      <c r="G42" s="143"/>
      <c r="H42" s="143"/>
      <c r="I42" s="144"/>
      <c r="J42" s="144"/>
      <c r="K42" s="144"/>
      <c r="L42" s="145">
        <f t="shared" si="13"/>
        <v>0</v>
      </c>
      <c r="M42" s="145"/>
      <c r="N42" s="145"/>
      <c r="O42" s="145"/>
      <c r="P42" s="145"/>
      <c r="Q42" s="145"/>
      <c r="R42" s="145"/>
    </row>
    <row r="43" spans="2:18" outlineLevel="1">
      <c r="B43" s="130">
        <v>4</v>
      </c>
      <c r="C43" s="142"/>
      <c r="D43" s="143"/>
      <c r="E43" s="143"/>
      <c r="F43" s="143"/>
      <c r="G43" s="143"/>
      <c r="H43" s="143"/>
      <c r="I43" s="144"/>
      <c r="J43" s="144"/>
      <c r="K43" s="144"/>
      <c r="L43" s="145">
        <f t="shared" si="13"/>
        <v>0</v>
      </c>
      <c r="M43" s="145"/>
      <c r="N43" s="145"/>
      <c r="O43" s="145"/>
      <c r="P43" s="145"/>
      <c r="Q43" s="145"/>
      <c r="R43" s="145"/>
    </row>
    <row r="44" spans="2:18" outlineLevel="1">
      <c r="B44" s="130">
        <v>5</v>
      </c>
      <c r="C44" s="142"/>
      <c r="D44" s="143"/>
      <c r="E44" s="143"/>
      <c r="F44" s="143"/>
      <c r="G44" s="143"/>
      <c r="H44" s="143"/>
      <c r="I44" s="144"/>
      <c r="J44" s="144"/>
      <c r="K44" s="144"/>
      <c r="L44" s="145">
        <f t="shared" si="13"/>
        <v>0</v>
      </c>
      <c r="M44" s="145"/>
      <c r="N44" s="145"/>
      <c r="O44" s="145"/>
      <c r="P44" s="145"/>
      <c r="Q44" s="145"/>
      <c r="R44" s="145"/>
    </row>
    <row r="45" spans="2:18" outlineLevel="1">
      <c r="B45" s="141" t="s">
        <v>157</v>
      </c>
      <c r="C45" s="142"/>
      <c r="D45" s="143"/>
      <c r="E45" s="143"/>
      <c r="F45" s="143"/>
      <c r="G45" s="143"/>
      <c r="H45" s="143"/>
      <c r="I45" s="144"/>
      <c r="J45" s="144"/>
      <c r="K45" s="144"/>
      <c r="L45" s="145">
        <f t="shared" si="13"/>
        <v>0</v>
      </c>
      <c r="M45" s="145"/>
      <c r="N45" s="145"/>
      <c r="O45" s="145"/>
      <c r="P45" s="145"/>
      <c r="Q45" s="145"/>
      <c r="R45" s="145"/>
    </row>
    <row r="46" spans="2:18" outlineLevel="1">
      <c r="B46" s="315" t="s">
        <v>229</v>
      </c>
      <c r="C46" s="316"/>
      <c r="D46" s="316"/>
      <c r="E46" s="316"/>
      <c r="F46" s="316"/>
      <c r="G46" s="316"/>
      <c r="H46" s="317"/>
      <c r="I46" s="148">
        <f>SUM(I47:I51)</f>
        <v>0</v>
      </c>
      <c r="J46" s="148">
        <f>SUM(J47:J51)</f>
        <v>0</v>
      </c>
      <c r="K46" s="148"/>
      <c r="L46" s="148">
        <f>SUM(L47:L51)</f>
        <v>0</v>
      </c>
      <c r="M46" s="148">
        <f>SUM(M47:M52)</f>
        <v>0</v>
      </c>
      <c r="N46" s="148">
        <f>SUM(N47:N52)</f>
        <v>0</v>
      </c>
      <c r="O46" s="148">
        <f t="shared" ref="O46:Q46" si="14">SUM(O47:O52)</f>
        <v>0</v>
      </c>
      <c r="P46" s="148">
        <f t="shared" si="14"/>
        <v>0</v>
      </c>
      <c r="Q46" s="148">
        <f t="shared" si="14"/>
        <v>0</v>
      </c>
      <c r="R46" s="149"/>
    </row>
    <row r="47" spans="2:18" outlineLevel="1">
      <c r="B47" s="130">
        <v>1</v>
      </c>
      <c r="C47" s="142"/>
      <c r="D47" s="143"/>
      <c r="E47" s="143"/>
      <c r="F47" s="143"/>
      <c r="G47" s="143"/>
      <c r="H47" s="143"/>
      <c r="I47" s="144"/>
      <c r="J47" s="144"/>
      <c r="K47" s="144"/>
      <c r="L47" s="145">
        <f>SUM(M47:Q47)</f>
        <v>0</v>
      </c>
      <c r="M47" s="145"/>
      <c r="N47" s="145"/>
      <c r="O47" s="145"/>
      <c r="P47" s="145"/>
      <c r="Q47" s="145"/>
      <c r="R47" s="145"/>
    </row>
    <row r="48" spans="2:18" outlineLevel="1">
      <c r="B48" s="130">
        <v>2</v>
      </c>
      <c r="C48" s="142"/>
      <c r="D48" s="143"/>
      <c r="E48" s="143"/>
      <c r="F48" s="143"/>
      <c r="G48" s="143"/>
      <c r="H48" s="143"/>
      <c r="I48" s="144"/>
      <c r="J48" s="144"/>
      <c r="K48" s="144"/>
      <c r="L48" s="145">
        <f>SUM(M48:Q48)</f>
        <v>0</v>
      </c>
      <c r="M48" s="145"/>
      <c r="N48" s="145"/>
      <c r="O48" s="145"/>
      <c r="P48" s="145"/>
      <c r="Q48" s="145"/>
      <c r="R48" s="145"/>
    </row>
    <row r="49" spans="2:18" outlineLevel="1">
      <c r="B49" s="130">
        <v>3</v>
      </c>
      <c r="C49" s="142"/>
      <c r="D49" s="143"/>
      <c r="E49" s="143"/>
      <c r="F49" s="143"/>
      <c r="G49" s="143"/>
      <c r="H49" s="143"/>
      <c r="I49" s="144"/>
      <c r="J49" s="144"/>
      <c r="K49" s="144"/>
      <c r="L49" s="145">
        <f t="shared" ref="L49:L52" si="15">SUM(M49:Q49)</f>
        <v>0</v>
      </c>
      <c r="M49" s="145"/>
      <c r="N49" s="145"/>
      <c r="O49" s="145"/>
      <c r="P49" s="145"/>
      <c r="Q49" s="145"/>
      <c r="R49" s="145"/>
    </row>
    <row r="50" spans="2:18" outlineLevel="1">
      <c r="B50" s="130">
        <v>4</v>
      </c>
      <c r="C50" s="142"/>
      <c r="D50" s="143"/>
      <c r="E50" s="143"/>
      <c r="F50" s="143"/>
      <c r="G50" s="143"/>
      <c r="H50" s="143"/>
      <c r="I50" s="144"/>
      <c r="J50" s="144"/>
      <c r="K50" s="144"/>
      <c r="L50" s="145">
        <f t="shared" si="15"/>
        <v>0</v>
      </c>
      <c r="M50" s="145"/>
      <c r="N50" s="145"/>
      <c r="O50" s="145"/>
      <c r="P50" s="145"/>
      <c r="Q50" s="145"/>
      <c r="R50" s="145"/>
    </row>
    <row r="51" spans="2:18" outlineLevel="1">
      <c r="B51" s="130">
        <v>5</v>
      </c>
      <c r="C51" s="142"/>
      <c r="D51" s="143"/>
      <c r="E51" s="143"/>
      <c r="F51" s="143"/>
      <c r="G51" s="143"/>
      <c r="H51" s="143"/>
      <c r="I51" s="144"/>
      <c r="J51" s="144"/>
      <c r="K51" s="144"/>
      <c r="L51" s="145">
        <f t="shared" si="15"/>
        <v>0</v>
      </c>
      <c r="M51" s="145"/>
      <c r="N51" s="145"/>
      <c r="O51" s="145"/>
      <c r="P51" s="145"/>
      <c r="Q51" s="145"/>
      <c r="R51" s="145"/>
    </row>
    <row r="52" spans="2:18" outlineLevel="1">
      <c r="B52" s="141" t="s">
        <v>157</v>
      </c>
      <c r="C52" s="142"/>
      <c r="D52" s="143"/>
      <c r="E52" s="143"/>
      <c r="F52" s="143"/>
      <c r="G52" s="143"/>
      <c r="H52" s="143"/>
      <c r="I52" s="144"/>
      <c r="J52" s="144"/>
      <c r="K52" s="144"/>
      <c r="L52" s="145">
        <f t="shared" si="15"/>
        <v>0</v>
      </c>
      <c r="M52" s="145"/>
      <c r="N52" s="145"/>
      <c r="O52" s="145"/>
      <c r="P52" s="145"/>
      <c r="Q52" s="145"/>
      <c r="R52" s="145"/>
    </row>
    <row r="55" spans="2:18">
      <c r="B55" s="241" t="s">
        <v>6</v>
      </c>
      <c r="C55" s="240" t="s">
        <v>7</v>
      </c>
      <c r="D55" s="191"/>
      <c r="E55" s="243"/>
    </row>
    <row r="56" spans="2:18" ht="15">
      <c r="B56" s="239"/>
      <c r="C56" s="240" t="s">
        <v>8</v>
      </c>
      <c r="D56" s="240"/>
      <c r="E56" s="242" t="s">
        <v>243</v>
      </c>
    </row>
  </sheetData>
  <mergeCells count="29">
    <mergeCell ref="B31:H31"/>
    <mergeCell ref="B32:H32"/>
    <mergeCell ref="B39:H39"/>
    <mergeCell ref="B46:H46"/>
    <mergeCell ref="B9:H9"/>
    <mergeCell ref="B10:H10"/>
    <mergeCell ref="B17:H17"/>
    <mergeCell ref="B24:H24"/>
    <mergeCell ref="R6:R8"/>
    <mergeCell ref="C7:C8"/>
    <mergeCell ref="D7:D8"/>
    <mergeCell ref="I7:I8"/>
    <mergeCell ref="J7:J8"/>
    <mergeCell ref="M7:M8"/>
    <mergeCell ref="B2:L2"/>
    <mergeCell ref="B6:B8"/>
    <mergeCell ref="C6:D6"/>
    <mergeCell ref="E6:E8"/>
    <mergeCell ref="F6:F8"/>
    <mergeCell ref="G6:G8"/>
    <mergeCell ref="I6:J6"/>
    <mergeCell ref="L6:Q6"/>
    <mergeCell ref="N7:N8"/>
    <mergeCell ref="O7:O8"/>
    <mergeCell ref="P7:P8"/>
    <mergeCell ref="Q7:Q8"/>
    <mergeCell ref="L7:L8"/>
    <mergeCell ref="K6:K8"/>
    <mergeCell ref="H6:H8"/>
  </mergeCells>
  <dataValidations count="2">
    <dataValidation type="list" allowBlank="1" showInputMessage="1" showErrorMessage="1" sqref="G18:G23 G11:G16 G25:G30 G40:G45 G33:G38 G47:G52">
      <formula1>"постоянная,временная"</formula1>
    </dataValidation>
    <dataValidation type="list" allowBlank="1" showInputMessage="1" showErrorMessage="1" sqref="H11:H16 H18:H23 H25:H30 H33:H38 H40:H45 H47:H52">
      <formula1>"до 15 кВт,до 150 кВт"</formula1>
    </dataValidation>
  </dataValidations>
  <pageMargins left="0.26" right="0.17" top="0.45" bottom="0.36" header="0.16" footer="0.15"/>
  <pageSetup paperSize="9" scale="57" fitToHeight="0" orientation="landscape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34"/>
  <sheetViews>
    <sheetView view="pageBreakPreview" zoomScale="80" zoomScaleNormal="85" zoomScaleSheetLayoutView="80" workbookViewId="0">
      <selection activeCell="I29" sqref="I29"/>
    </sheetView>
  </sheetViews>
  <sheetFormatPr defaultRowHeight="12" outlineLevelCol="1"/>
  <cols>
    <col min="1" max="1" width="2.85546875" style="122" customWidth="1"/>
    <col min="2" max="2" width="4.85546875" style="122" customWidth="1"/>
    <col min="3" max="3" width="15.28515625" style="123" customWidth="1"/>
    <col min="4" max="4" width="15.28515625" style="154" customWidth="1"/>
    <col min="5" max="5" width="40.140625" style="122" customWidth="1"/>
    <col min="6" max="6" width="17.140625" style="153" customWidth="1"/>
    <col min="7" max="7" width="17.140625" style="153" customWidth="1" outlineLevel="1"/>
    <col min="8" max="8" width="14.5703125" style="126" customWidth="1" outlineLevel="1"/>
    <col min="9" max="14" width="12" style="126" customWidth="1" outlineLevel="1"/>
    <col min="15" max="15" width="24" style="122" customWidth="1"/>
    <col min="16" max="16" width="9.140625" style="122"/>
    <col min="17" max="17" width="12.85546875" style="122" customWidth="1"/>
    <col min="18" max="18" width="12.28515625" style="122" customWidth="1"/>
    <col min="19" max="16384" width="9.140625" style="122"/>
  </cols>
  <sheetData>
    <row r="1" spans="2:19" ht="25.5" customHeight="1">
      <c r="O1" s="153"/>
    </row>
    <row r="2" spans="2:19">
      <c r="B2" s="171" t="s">
        <v>237</v>
      </c>
      <c r="C2" s="171"/>
      <c r="D2" s="171"/>
      <c r="E2" s="171"/>
      <c r="F2" s="171"/>
      <c r="G2" s="171"/>
      <c r="H2" s="154"/>
      <c r="I2" s="154"/>
      <c r="J2" s="154"/>
      <c r="K2" s="154"/>
      <c r="L2" s="154"/>
      <c r="M2" s="154"/>
      <c r="N2" s="154"/>
    </row>
    <row r="3" spans="2:19">
      <c r="B3" s="128" t="str">
        <f>'1_до 15 кВт'!B7</f>
        <v>наименование ТСО</v>
      </c>
      <c r="C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2:19">
      <c r="B4" s="140" t="s">
        <v>238</v>
      </c>
      <c r="C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2:19" ht="21.75" customHeight="1"/>
    <row r="6" spans="2:19" ht="64.5" customHeight="1">
      <c r="B6" s="297" t="s">
        <v>144</v>
      </c>
      <c r="C6" s="303" t="s">
        <v>240</v>
      </c>
      <c r="D6" s="303" t="s">
        <v>241</v>
      </c>
      <c r="E6" s="297" t="s">
        <v>164</v>
      </c>
      <c r="F6" s="299" t="s">
        <v>147</v>
      </c>
      <c r="G6" s="299"/>
      <c r="H6" s="300" t="s">
        <v>167</v>
      </c>
      <c r="I6" s="301"/>
      <c r="J6" s="301"/>
      <c r="K6" s="301"/>
      <c r="L6" s="301"/>
      <c r="M6" s="301"/>
      <c r="N6" s="302"/>
      <c r="O6" s="321" t="s">
        <v>239</v>
      </c>
    </row>
    <row r="7" spans="2:19" ht="102" customHeight="1">
      <c r="B7" s="297"/>
      <c r="C7" s="324"/>
      <c r="D7" s="324"/>
      <c r="E7" s="297"/>
      <c r="F7" s="299" t="s">
        <v>151</v>
      </c>
      <c r="G7" s="299" t="s">
        <v>152</v>
      </c>
      <c r="H7" s="297" t="s">
        <v>168</v>
      </c>
      <c r="I7" s="297"/>
      <c r="J7" s="297" t="s">
        <v>171</v>
      </c>
      <c r="K7" s="297"/>
      <c r="L7" s="297" t="s">
        <v>160</v>
      </c>
      <c r="M7" s="297"/>
      <c r="N7" s="303" t="s">
        <v>173</v>
      </c>
      <c r="O7" s="322"/>
    </row>
    <row r="8" spans="2:19" ht="12.75" customHeight="1">
      <c r="B8" s="297"/>
      <c r="C8" s="304"/>
      <c r="D8" s="304"/>
      <c r="E8" s="297"/>
      <c r="F8" s="299"/>
      <c r="G8" s="299"/>
      <c r="H8" s="152" t="s">
        <v>169</v>
      </c>
      <c r="I8" s="152" t="s">
        <v>170</v>
      </c>
      <c r="J8" s="152" t="s">
        <v>169</v>
      </c>
      <c r="K8" s="152" t="s">
        <v>170</v>
      </c>
      <c r="L8" s="152" t="s">
        <v>172</v>
      </c>
      <c r="M8" s="152" t="s">
        <v>68</v>
      </c>
      <c r="N8" s="304"/>
      <c r="O8" s="323"/>
      <c r="Q8" s="162"/>
    </row>
    <row r="9" spans="2:19" ht="12.75" customHeight="1">
      <c r="B9" s="315" t="s">
        <v>165</v>
      </c>
      <c r="C9" s="316"/>
      <c r="D9" s="316"/>
      <c r="E9" s="316"/>
      <c r="F9" s="148">
        <f>SUM(F10:F15)</f>
        <v>5</v>
      </c>
      <c r="G9" s="148">
        <f>SUM(G10:G15)</f>
        <v>3</v>
      </c>
      <c r="H9" s="148">
        <f>ROUND(SUM(H10:H15),3)</f>
        <v>0.23</v>
      </c>
      <c r="I9" s="148">
        <f t="shared" ref="I9:K9" si="0">ROUND(SUM(I10:I15),3)</f>
        <v>0</v>
      </c>
      <c r="J9" s="148">
        <f t="shared" si="0"/>
        <v>0</v>
      </c>
      <c r="K9" s="148">
        <f t="shared" si="0"/>
        <v>0</v>
      </c>
      <c r="L9" s="157"/>
      <c r="M9" s="157"/>
      <c r="N9" s="148">
        <f>ROUND(SUM(N10:N15),0)</f>
        <v>0</v>
      </c>
      <c r="O9" s="158"/>
      <c r="Q9" s="162"/>
    </row>
    <row r="10" spans="2:19" s="129" customFormat="1" ht="24">
      <c r="B10" s="130">
        <v>1</v>
      </c>
      <c r="C10" s="224">
        <v>43353</v>
      </c>
      <c r="D10" s="225" t="s">
        <v>242</v>
      </c>
      <c r="E10" s="226" t="s">
        <v>156</v>
      </c>
      <c r="F10" s="227">
        <v>5</v>
      </c>
      <c r="G10" s="227">
        <v>3</v>
      </c>
      <c r="H10" s="225">
        <v>0.23</v>
      </c>
      <c r="I10" s="225"/>
      <c r="J10" s="225"/>
      <c r="K10" s="225"/>
      <c r="L10" s="225" t="s">
        <v>174</v>
      </c>
      <c r="M10" s="225">
        <v>1</v>
      </c>
      <c r="N10" s="225"/>
      <c r="O10" s="236"/>
      <c r="P10" s="129" t="s">
        <v>232</v>
      </c>
      <c r="Q10" s="162"/>
    </row>
    <row r="11" spans="2:19" s="129" customFormat="1">
      <c r="B11" s="130">
        <v>2</v>
      </c>
      <c r="C11" s="142"/>
      <c r="D11" s="143"/>
      <c r="E11" s="143"/>
      <c r="F11" s="144"/>
      <c r="G11" s="144"/>
      <c r="H11" s="145"/>
      <c r="I11" s="145"/>
      <c r="J11" s="145"/>
      <c r="K11" s="145"/>
      <c r="L11" s="145"/>
      <c r="M11" s="145"/>
      <c r="N11" s="145"/>
      <c r="O11" s="146"/>
      <c r="Q11" s="162"/>
    </row>
    <row r="12" spans="2:19" s="129" customFormat="1">
      <c r="B12" s="130">
        <v>3</v>
      </c>
      <c r="C12" s="142"/>
      <c r="D12" s="143"/>
      <c r="E12" s="143"/>
      <c r="F12" s="144"/>
      <c r="G12" s="144"/>
      <c r="H12" s="145"/>
      <c r="I12" s="145"/>
      <c r="J12" s="145"/>
      <c r="K12" s="145"/>
      <c r="L12" s="145"/>
      <c r="M12" s="145"/>
      <c r="N12" s="145"/>
      <c r="O12" s="146"/>
      <c r="Q12" s="162"/>
    </row>
    <row r="13" spans="2:19" s="129" customFormat="1">
      <c r="B13" s="130">
        <v>4</v>
      </c>
      <c r="C13" s="142"/>
      <c r="D13" s="143"/>
      <c r="E13" s="143"/>
      <c r="F13" s="147"/>
      <c r="G13" s="144"/>
      <c r="H13" s="145"/>
      <c r="I13" s="145"/>
      <c r="J13" s="145"/>
      <c r="K13" s="145"/>
      <c r="L13" s="145"/>
      <c r="M13" s="145"/>
      <c r="N13" s="145"/>
      <c r="O13" s="146"/>
      <c r="Q13" s="162"/>
      <c r="R13" s="131"/>
      <c r="S13" s="131"/>
    </row>
    <row r="14" spans="2:19" s="129" customFormat="1">
      <c r="B14" s="130">
        <v>5</v>
      </c>
      <c r="C14" s="142"/>
      <c r="D14" s="143"/>
      <c r="E14" s="143"/>
      <c r="F14" s="144"/>
      <c r="G14" s="144"/>
      <c r="H14" s="145"/>
      <c r="I14" s="145"/>
      <c r="J14" s="145"/>
      <c r="K14" s="145"/>
      <c r="L14" s="145"/>
      <c r="M14" s="145"/>
      <c r="N14" s="145"/>
      <c r="O14" s="146"/>
      <c r="Q14" s="162"/>
      <c r="R14" s="131"/>
      <c r="S14" s="131"/>
    </row>
    <row r="15" spans="2:19" s="129" customFormat="1">
      <c r="B15" s="141" t="s">
        <v>157</v>
      </c>
      <c r="C15" s="142"/>
      <c r="D15" s="143"/>
      <c r="E15" s="143"/>
      <c r="F15" s="144"/>
      <c r="G15" s="144"/>
      <c r="H15" s="145"/>
      <c r="I15" s="145"/>
      <c r="J15" s="145"/>
      <c r="K15" s="145"/>
      <c r="L15" s="145"/>
      <c r="M15" s="145"/>
      <c r="N15" s="145"/>
      <c r="O15" s="146"/>
      <c r="Q15" s="131"/>
      <c r="R15" s="131"/>
      <c r="S15" s="131"/>
    </row>
    <row r="16" spans="2:19" s="129" customFormat="1" ht="23.25" customHeight="1">
      <c r="B16" s="315" t="s">
        <v>166</v>
      </c>
      <c r="C16" s="316"/>
      <c r="D16" s="316"/>
      <c r="E16" s="316"/>
      <c r="F16" s="148">
        <f>SUM(F17:F21)</f>
        <v>0</v>
      </c>
      <c r="G16" s="148">
        <f>SUM(G17:G21)</f>
        <v>0</v>
      </c>
      <c r="H16" s="148">
        <f>ROUND(SUM(H17:H22),3)</f>
        <v>0</v>
      </c>
      <c r="I16" s="148">
        <f>ROUND(SUM(I17:I22),3)</f>
        <v>0</v>
      </c>
      <c r="J16" s="148">
        <f t="shared" ref="J16" si="1">ROUND(SUM(J17:J22),3)</f>
        <v>0</v>
      </c>
      <c r="K16" s="148">
        <f t="shared" ref="K16" si="2">ROUND(SUM(K17:K22),3)</f>
        <v>0</v>
      </c>
      <c r="L16" s="157"/>
      <c r="M16" s="157"/>
      <c r="N16" s="148">
        <f>ROUND(SUM(N17:N22),0)</f>
        <v>0</v>
      </c>
      <c r="O16" s="150"/>
      <c r="Q16" s="131"/>
      <c r="R16" s="131"/>
      <c r="S16" s="131"/>
    </row>
    <row r="17" spans="2:39" s="129" customFormat="1">
      <c r="B17" s="130">
        <v>1</v>
      </c>
      <c r="C17" s="142"/>
      <c r="D17" s="143"/>
      <c r="E17" s="143"/>
      <c r="F17" s="144"/>
      <c r="G17" s="144"/>
      <c r="H17" s="145"/>
      <c r="I17" s="145"/>
      <c r="J17" s="145"/>
      <c r="K17" s="145"/>
      <c r="L17" s="145"/>
      <c r="M17" s="145"/>
      <c r="N17" s="145"/>
      <c r="O17" s="146"/>
      <c r="Q17" s="131"/>
      <c r="R17" s="131"/>
      <c r="S17" s="131"/>
    </row>
    <row r="18" spans="2:39" s="129" customFormat="1">
      <c r="B18" s="130">
        <v>2</v>
      </c>
      <c r="C18" s="142"/>
      <c r="D18" s="143"/>
      <c r="E18" s="143"/>
      <c r="F18" s="144"/>
      <c r="G18" s="144"/>
      <c r="H18" s="145"/>
      <c r="I18" s="145"/>
      <c r="J18" s="145"/>
      <c r="K18" s="145"/>
      <c r="L18" s="145"/>
      <c r="M18" s="145"/>
      <c r="N18" s="145"/>
      <c r="O18" s="146"/>
      <c r="Q18" s="131"/>
      <c r="R18" s="131"/>
      <c r="S18" s="131"/>
      <c r="AM18" s="129" t="s">
        <v>153</v>
      </c>
    </row>
    <row r="19" spans="2:39" s="129" customFormat="1">
      <c r="B19" s="130">
        <v>3</v>
      </c>
      <c r="C19" s="142"/>
      <c r="D19" s="143"/>
      <c r="E19" s="143"/>
      <c r="F19" s="144"/>
      <c r="G19" s="144"/>
      <c r="H19" s="145"/>
      <c r="I19" s="145"/>
      <c r="J19" s="145"/>
      <c r="K19" s="145"/>
      <c r="L19" s="145"/>
      <c r="M19" s="145"/>
      <c r="N19" s="145"/>
      <c r="O19" s="146"/>
      <c r="Q19" s="131"/>
      <c r="R19" s="131"/>
      <c r="S19" s="131"/>
    </row>
    <row r="20" spans="2:39" s="129" customFormat="1">
      <c r="B20" s="130">
        <v>4</v>
      </c>
      <c r="C20" s="142"/>
      <c r="D20" s="143"/>
      <c r="E20" s="143"/>
      <c r="F20" s="144"/>
      <c r="G20" s="144"/>
      <c r="H20" s="145"/>
      <c r="I20" s="145"/>
      <c r="J20" s="145"/>
      <c r="K20" s="145"/>
      <c r="L20" s="145"/>
      <c r="M20" s="145"/>
      <c r="N20" s="145"/>
      <c r="O20" s="146"/>
      <c r="Q20" s="131"/>
      <c r="R20" s="131"/>
      <c r="S20" s="131"/>
    </row>
    <row r="21" spans="2:39" s="129" customFormat="1">
      <c r="B21" s="130">
        <v>5</v>
      </c>
      <c r="C21" s="142"/>
      <c r="D21" s="143"/>
      <c r="E21" s="143"/>
      <c r="F21" s="144"/>
      <c r="G21" s="144"/>
      <c r="H21" s="145"/>
      <c r="I21" s="145"/>
      <c r="J21" s="145"/>
      <c r="K21" s="145"/>
      <c r="L21" s="145"/>
      <c r="M21" s="145"/>
      <c r="N21" s="145"/>
      <c r="O21" s="146"/>
      <c r="Q21" s="131"/>
      <c r="R21" s="131"/>
      <c r="S21" s="131"/>
    </row>
    <row r="22" spans="2:39" s="129" customFormat="1">
      <c r="B22" s="141" t="s">
        <v>157</v>
      </c>
      <c r="C22" s="142"/>
      <c r="D22" s="143"/>
      <c r="E22" s="143"/>
      <c r="F22" s="144"/>
      <c r="G22" s="144"/>
      <c r="H22" s="145"/>
      <c r="I22" s="145"/>
      <c r="J22" s="145"/>
      <c r="K22" s="145"/>
      <c r="L22" s="145"/>
      <c r="M22" s="145"/>
      <c r="N22" s="145"/>
      <c r="O22" s="146"/>
      <c r="Q22" s="131"/>
      <c r="R22" s="131"/>
      <c r="S22" s="131"/>
    </row>
    <row r="23" spans="2:39" s="129" customFormat="1">
      <c r="B23" s="131"/>
      <c r="C23" s="132"/>
      <c r="D23" s="133"/>
      <c r="E23" s="131"/>
      <c r="F23" s="134"/>
      <c r="G23" s="134"/>
      <c r="H23" s="161"/>
      <c r="I23" s="161"/>
      <c r="J23" s="161"/>
      <c r="K23" s="161"/>
      <c r="L23" s="161"/>
      <c r="M23" s="161"/>
      <c r="N23" s="161"/>
      <c r="O23" s="131"/>
    </row>
    <row r="24" spans="2:39" s="129" customFormat="1">
      <c r="B24" s="131"/>
      <c r="C24" s="132"/>
      <c r="D24" s="133"/>
      <c r="F24" s="134"/>
      <c r="G24" s="134"/>
      <c r="H24" s="172"/>
      <c r="I24" s="172"/>
      <c r="J24" s="172"/>
      <c r="K24" s="172"/>
      <c r="L24" s="172"/>
      <c r="M24" s="172"/>
      <c r="N24" s="172"/>
      <c r="O24" s="131"/>
    </row>
    <row r="25" spans="2:39" s="129" customFormat="1">
      <c r="B25" s="241" t="s">
        <v>6</v>
      </c>
      <c r="C25" s="240" t="s">
        <v>7</v>
      </c>
      <c r="D25" s="191"/>
      <c r="E25" s="243"/>
      <c r="F25" s="136"/>
      <c r="G25" s="136"/>
      <c r="H25" s="172"/>
      <c r="I25" s="172"/>
      <c r="J25" s="172"/>
      <c r="K25" s="172"/>
      <c r="L25" s="172"/>
      <c r="M25" s="172"/>
      <c r="N25" s="172"/>
    </row>
    <row r="26" spans="2:39" s="129" customFormat="1" ht="15">
      <c r="B26" s="239"/>
      <c r="C26" s="240" t="s">
        <v>8</v>
      </c>
      <c r="D26" s="240"/>
      <c r="E26" s="242" t="s">
        <v>243</v>
      </c>
      <c r="F26" s="136"/>
      <c r="G26" s="136"/>
      <c r="H26" s="172"/>
      <c r="I26" s="172"/>
      <c r="J26" s="172"/>
      <c r="K26" s="172"/>
      <c r="L26" s="172"/>
      <c r="M26" s="172"/>
      <c r="N26" s="172"/>
    </row>
    <row r="27" spans="2:39" s="129" customFormat="1">
      <c r="B27" s="136"/>
      <c r="C27" s="139"/>
      <c r="D27" s="138"/>
      <c r="F27" s="136"/>
      <c r="G27" s="136"/>
      <c r="H27" s="172"/>
      <c r="I27" s="172"/>
      <c r="J27" s="172"/>
      <c r="K27" s="172"/>
      <c r="L27" s="172"/>
      <c r="M27" s="172"/>
      <c r="N27" s="172"/>
    </row>
    <row r="28" spans="2:39">
      <c r="H28" s="172"/>
      <c r="I28" s="172"/>
      <c r="J28" s="172"/>
      <c r="K28" s="172"/>
      <c r="L28" s="172"/>
      <c r="M28" s="172"/>
      <c r="N28" s="172"/>
    </row>
    <row r="29" spans="2:39">
      <c r="H29" s="172"/>
      <c r="I29" s="172"/>
      <c r="J29" s="172"/>
      <c r="K29" s="172"/>
      <c r="L29" s="172"/>
      <c r="M29" s="172"/>
      <c r="N29" s="172"/>
    </row>
    <row r="30" spans="2:39">
      <c r="H30" s="135"/>
      <c r="I30" s="135"/>
      <c r="J30" s="135"/>
      <c r="K30" s="135"/>
      <c r="L30" s="135"/>
      <c r="M30" s="135"/>
      <c r="N30" s="135"/>
    </row>
    <row r="31" spans="2:39">
      <c r="H31" s="135"/>
      <c r="I31" s="135"/>
      <c r="J31" s="135"/>
      <c r="K31" s="135"/>
      <c r="L31" s="135"/>
      <c r="M31" s="135"/>
      <c r="N31" s="135"/>
    </row>
    <row r="32" spans="2:39">
      <c r="H32" s="137"/>
      <c r="I32" s="137"/>
      <c r="J32" s="137"/>
      <c r="K32" s="137"/>
      <c r="L32" s="137"/>
      <c r="M32" s="137"/>
      <c r="N32" s="137"/>
    </row>
    <row r="33" spans="8:14">
      <c r="H33" s="137"/>
      <c r="I33" s="137"/>
      <c r="J33" s="137"/>
      <c r="K33" s="137"/>
      <c r="L33" s="137"/>
      <c r="M33" s="137"/>
      <c r="N33" s="137"/>
    </row>
    <row r="34" spans="8:14">
      <c r="H34" s="137"/>
      <c r="I34" s="137"/>
      <c r="J34" s="137"/>
      <c r="K34" s="137"/>
      <c r="L34" s="137"/>
      <c r="M34" s="137"/>
      <c r="N34" s="137"/>
    </row>
  </sheetData>
  <mergeCells count="15">
    <mergeCell ref="B9:E9"/>
    <mergeCell ref="B16:E16"/>
    <mergeCell ref="H7:I7"/>
    <mergeCell ref="J7:K7"/>
    <mergeCell ref="L7:M7"/>
    <mergeCell ref="B6:B8"/>
    <mergeCell ref="C6:C8"/>
    <mergeCell ref="D6:D8"/>
    <mergeCell ref="O6:O8"/>
    <mergeCell ref="F7:F8"/>
    <mergeCell ref="G7:G8"/>
    <mergeCell ref="E6:E8"/>
    <mergeCell ref="F6:G6"/>
    <mergeCell ref="H6:N6"/>
    <mergeCell ref="N7:N8"/>
  </mergeCells>
  <dataValidations count="1">
    <dataValidation type="list" allowBlank="1" showInputMessage="1" showErrorMessage="1" sqref="L10:L15 L17:L22">
      <formula1>"КТП-63 и меньше,КТП-100,КТП-160,КТП-250,КТП-400 и больше,БКТП-160,БКТП-2х160"</formula1>
    </dataValidation>
  </dataValidations>
  <pageMargins left="0.26" right="0.17" top="0.45" bottom="0.36" header="0.16" footer="0.15"/>
  <pageSetup paperSize="9" scale="65" fitToHeight="0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Факт ПС за 3 года</vt:lpstr>
      <vt:lpstr>Факт ТП за 3 года</vt:lpstr>
      <vt:lpstr>1_до 15 кВт</vt:lpstr>
      <vt:lpstr>2_рассрочка</vt:lpstr>
      <vt:lpstr>3_до 150 кВт</vt:lpstr>
      <vt:lpstr>Реестр договоров ТП 2015-2017</vt:lpstr>
      <vt:lpstr>Реестр заявок на 2019</vt:lpstr>
      <vt:lpstr>'1_до 15 кВт'!Область_печати</vt:lpstr>
      <vt:lpstr>'2_рассрочка'!Область_печати</vt:lpstr>
      <vt:lpstr>'3_до 150 кВт'!Область_печати</vt:lpstr>
      <vt:lpstr>'Реестр договоров ТП 2015-2017'!Область_печати</vt:lpstr>
      <vt:lpstr>'Реестр заявок на 2019'!Область_печати</vt:lpstr>
      <vt:lpstr>'Факт ПС за 3 года'!Область_печати</vt:lpstr>
      <vt:lpstr>'Факт ТП за 3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Алина Сергеевна</dc:creator>
  <cp:lastModifiedBy>Нагих Алина Сергеевна</cp:lastModifiedBy>
  <dcterms:created xsi:type="dcterms:W3CDTF">2017-08-02T09:28:37Z</dcterms:created>
  <dcterms:modified xsi:type="dcterms:W3CDTF">2018-07-18T11:54:14Z</dcterms:modified>
</cp:coreProperties>
</file>