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95" yWindow="2085" windowWidth="19320" windowHeight="12120" tabRatio="595" activeTab="6"/>
  </bookViews>
  <sheets>
    <sheet name="1_до 15 кВт" sheetId="4" r:id="rId1"/>
    <sheet name="2_рассрочка" sheetId="8" r:id="rId2"/>
    <sheet name="3_до 150 кВт" sheetId="7" r:id="rId3"/>
    <sheet name="Факт ТП за 3 года" sheetId="6" r:id="rId4"/>
    <sheet name="Факт ПС за 3 года" sheetId="1" r:id="rId5"/>
    <sheet name="Реестр заявок на 2018" sheetId="11" r:id="rId6"/>
    <sheet name="Реестр договоров ТП 2014-2016" sheetId="10" r:id="rId7"/>
  </sheets>
  <definedNames>
    <definedName name="_xlnm._FilterDatabase" localSheetId="6" hidden="1">'Реестр договоров ТП 2014-2016'!$A$7:$R$29</definedName>
    <definedName name="_xlnm._FilterDatabase" localSheetId="5" hidden="1">'Реестр заявок на 2018'!$A$7:$G$22</definedName>
    <definedName name="_xlnm.Print_Area" localSheetId="0">'1_до 15 кВт'!$B$3:$L$60</definedName>
    <definedName name="_xlnm.Print_Area" localSheetId="1">'2_рассрочка'!$A$1:$U$43</definedName>
    <definedName name="_xlnm.Print_Area" localSheetId="2">'3_до 150 кВт'!$B$3:$L$86</definedName>
    <definedName name="_xlnm.Print_Area" localSheetId="6">'Реестр договоров ТП 2014-2016'!$A$1:$R$30</definedName>
    <definedName name="_xlnm.Print_Area" localSheetId="5">'Реестр заявок на 2018'!$A$1:$O$23</definedName>
  </definedNames>
  <calcPr calcId="144525"/>
</workbook>
</file>

<file path=xl/calcChain.xml><?xml version="1.0" encoding="utf-8"?>
<calcChain xmlns="http://schemas.openxmlformats.org/spreadsheetml/2006/main">
  <c r="L54" i="4" l="1"/>
  <c r="F54" i="4"/>
  <c r="K14" i="4" l="1"/>
  <c r="F15" i="4"/>
  <c r="F16" i="4"/>
  <c r="F17" i="4"/>
  <c r="F14" i="4"/>
  <c r="L14" i="4" l="1"/>
  <c r="K13" i="4"/>
  <c r="H13" i="4"/>
  <c r="E13" i="4"/>
  <c r="K10" i="6" l="1"/>
  <c r="L28" i="10" l="1"/>
  <c r="L23" i="10"/>
  <c r="L22" i="10"/>
  <c r="L21" i="10"/>
  <c r="L20" i="10"/>
  <c r="L19" i="10"/>
  <c r="L18" i="10"/>
  <c r="L12" i="10"/>
  <c r="L13" i="10"/>
  <c r="L14" i="10"/>
  <c r="L15" i="10"/>
  <c r="L16" i="10"/>
  <c r="N10" i="1"/>
  <c r="F17" i="6"/>
  <c r="F11" i="6"/>
  <c r="D10" i="6"/>
  <c r="K15" i="4"/>
  <c r="L15" i="4" s="1"/>
  <c r="I14" i="4"/>
  <c r="K16" i="4" l="1"/>
  <c r="E12" i="8"/>
  <c r="L16" i="4" l="1"/>
  <c r="K17" i="4"/>
  <c r="L17" i="4" s="1"/>
  <c r="P13" i="1" l="1"/>
  <c r="D22" i="6" s="1"/>
  <c r="D21" i="6" s="1"/>
  <c r="N77" i="1"/>
  <c r="N76" i="1"/>
  <c r="N75" i="1"/>
  <c r="N74" i="1"/>
  <c r="N73" i="1"/>
  <c r="P73" i="1" s="1"/>
  <c r="N45" i="6" s="1"/>
  <c r="N72" i="1"/>
  <c r="P72" i="1" s="1"/>
  <c r="N44" i="6" s="1"/>
  <c r="N71" i="1"/>
  <c r="N70" i="1"/>
  <c r="N69" i="1"/>
  <c r="P69" i="1" s="1"/>
  <c r="N43" i="6" s="1"/>
  <c r="N68" i="1"/>
  <c r="P68" i="1" s="1"/>
  <c r="N42" i="6" s="1"/>
  <c r="N67" i="1"/>
  <c r="P67" i="1" s="1"/>
  <c r="N41" i="6" s="1"/>
  <c r="N66" i="1"/>
  <c r="P66" i="1" s="1"/>
  <c r="N40" i="6" s="1"/>
  <c r="N65" i="1"/>
  <c r="N64" i="1"/>
  <c r="N63" i="1"/>
  <c r="N62" i="1"/>
  <c r="P65" i="1" s="1"/>
  <c r="N39" i="6" s="1"/>
  <c r="N38" i="6" s="1"/>
  <c r="N60" i="1"/>
  <c r="N59" i="1"/>
  <c r="N58" i="1"/>
  <c r="N57" i="1"/>
  <c r="N56" i="1"/>
  <c r="P56" i="1" s="1"/>
  <c r="N28" i="6" s="1"/>
  <c r="N55" i="1"/>
  <c r="P55" i="1" s="1"/>
  <c r="N27" i="6" s="1"/>
  <c r="N54" i="1"/>
  <c r="N53" i="1"/>
  <c r="N52" i="1"/>
  <c r="P52" i="1" s="1"/>
  <c r="N26" i="6" s="1"/>
  <c r="N51" i="1"/>
  <c r="P51" i="1" s="1"/>
  <c r="N25" i="6" s="1"/>
  <c r="N50" i="1"/>
  <c r="P50" i="1" s="1"/>
  <c r="N24" i="6" s="1"/>
  <c r="N49" i="1"/>
  <c r="P49" i="1" s="1"/>
  <c r="N23" i="6" s="1"/>
  <c r="N48" i="1"/>
  <c r="N47" i="1"/>
  <c r="N46" i="1"/>
  <c r="N45" i="1"/>
  <c r="P48" i="1" s="1"/>
  <c r="N22" i="6" s="1"/>
  <c r="N21" i="6" s="1"/>
  <c r="N42" i="1"/>
  <c r="N41" i="1"/>
  <c r="N40" i="1"/>
  <c r="N39" i="1"/>
  <c r="N38" i="1"/>
  <c r="P38" i="1" s="1"/>
  <c r="D45" i="6" s="1"/>
  <c r="N37" i="1"/>
  <c r="P37" i="1" s="1"/>
  <c r="D44" i="6" s="1"/>
  <c r="N36" i="1"/>
  <c r="N35" i="1"/>
  <c r="N34" i="1"/>
  <c r="P34" i="1" s="1"/>
  <c r="D43" i="6" s="1"/>
  <c r="N33" i="1"/>
  <c r="P33" i="1" s="1"/>
  <c r="D42" i="6" s="1"/>
  <c r="N32" i="1"/>
  <c r="P32" i="1" s="1"/>
  <c r="D41" i="6" s="1"/>
  <c r="N31" i="1"/>
  <c r="P31" i="1" s="1"/>
  <c r="D40" i="6" s="1"/>
  <c r="N30" i="1"/>
  <c r="N29" i="1"/>
  <c r="N28" i="1"/>
  <c r="N27" i="1"/>
  <c r="P30" i="1" s="1"/>
  <c r="D39" i="6" s="1"/>
  <c r="D38" i="6" s="1"/>
  <c r="N11" i="1"/>
  <c r="N12" i="1"/>
  <c r="N13" i="1"/>
  <c r="N14" i="1"/>
  <c r="P14" i="1" s="1"/>
  <c r="D23" i="6" s="1"/>
  <c r="N15" i="1"/>
  <c r="P15" i="1" s="1"/>
  <c r="D24" i="6" s="1"/>
  <c r="N16" i="1"/>
  <c r="P16" i="1" s="1"/>
  <c r="D25" i="6" s="1"/>
  <c r="N17" i="1"/>
  <c r="P17" i="1" s="1"/>
  <c r="D26" i="6" s="1"/>
  <c r="N18" i="1"/>
  <c r="N19" i="1"/>
  <c r="N20" i="1"/>
  <c r="P20" i="1" s="1"/>
  <c r="D27" i="6" s="1"/>
  <c r="N21" i="1"/>
  <c r="P21" i="1" s="1"/>
  <c r="D28" i="6" s="1"/>
  <c r="N22" i="1"/>
  <c r="N23" i="1"/>
  <c r="N24" i="1"/>
  <c r="N25" i="1"/>
  <c r="F77" i="1"/>
  <c r="G77" i="1" s="1"/>
  <c r="F76" i="1"/>
  <c r="G76" i="1" s="1"/>
  <c r="F75" i="1"/>
  <c r="G75" i="1" s="1"/>
  <c r="F74" i="1"/>
  <c r="G74" i="1" s="1"/>
  <c r="F73" i="1"/>
  <c r="G73" i="1" s="1"/>
  <c r="G72" i="1"/>
  <c r="G71" i="1"/>
  <c r="G70" i="1"/>
  <c r="G69" i="1"/>
  <c r="G68" i="1"/>
  <c r="G67" i="1"/>
  <c r="G66" i="1"/>
  <c r="G65" i="1"/>
  <c r="G64" i="1"/>
  <c r="G63" i="1"/>
  <c r="G62" i="1"/>
  <c r="F60" i="1"/>
  <c r="G60" i="1" s="1"/>
  <c r="F59" i="1"/>
  <c r="G59" i="1" s="1"/>
  <c r="F58" i="1"/>
  <c r="G58" i="1" s="1"/>
  <c r="F57" i="1"/>
  <c r="G57" i="1" s="1"/>
  <c r="F56" i="1"/>
  <c r="G56" i="1" s="1"/>
  <c r="G55" i="1"/>
  <c r="G54" i="1"/>
  <c r="G53" i="1"/>
  <c r="G52" i="1"/>
  <c r="G51" i="1"/>
  <c r="G50" i="1"/>
  <c r="G49" i="1"/>
  <c r="G48" i="1"/>
  <c r="G47" i="1"/>
  <c r="G46" i="1"/>
  <c r="G45" i="1"/>
  <c r="F42" i="1"/>
  <c r="G42" i="1" s="1"/>
  <c r="F41" i="1"/>
  <c r="G41" i="1" s="1"/>
  <c r="F40" i="1"/>
  <c r="G40" i="1" s="1"/>
  <c r="F39" i="1"/>
  <c r="G39" i="1" s="1"/>
  <c r="F38" i="1"/>
  <c r="G38" i="1" s="1"/>
  <c r="G37" i="1"/>
  <c r="G36" i="1"/>
  <c r="G35" i="1"/>
  <c r="G34" i="1"/>
  <c r="G33" i="1"/>
  <c r="G32" i="1"/>
  <c r="G31" i="1"/>
  <c r="G30" i="1"/>
  <c r="G29" i="1"/>
  <c r="G28" i="1"/>
  <c r="G27" i="1"/>
  <c r="F25" i="1"/>
  <c r="G25" i="1" s="1"/>
  <c r="F24" i="1"/>
  <c r="G24" i="1" s="1"/>
  <c r="F23" i="1"/>
  <c r="G23" i="1" s="1"/>
  <c r="F22" i="1"/>
  <c r="G22" i="1" s="1"/>
  <c r="F21" i="1"/>
  <c r="G21" i="1" s="1"/>
  <c r="G20" i="1"/>
  <c r="G19" i="1"/>
  <c r="G18" i="1"/>
  <c r="G17" i="1"/>
  <c r="G16" i="1"/>
  <c r="G15" i="1"/>
  <c r="G14" i="1"/>
  <c r="G13" i="1"/>
  <c r="G12" i="1"/>
  <c r="G11" i="1"/>
  <c r="G10" i="1"/>
  <c r="C77" i="1"/>
  <c r="D77" i="1" s="1"/>
  <c r="C76" i="1"/>
  <c r="D76" i="1" s="1"/>
  <c r="C75" i="1"/>
  <c r="D75" i="1" s="1"/>
  <c r="C74" i="1"/>
  <c r="D74" i="1" s="1"/>
  <c r="C73" i="1"/>
  <c r="D73" i="1" s="1"/>
  <c r="D72" i="1"/>
  <c r="D71" i="1"/>
  <c r="D70" i="1"/>
  <c r="D69" i="1"/>
  <c r="D68" i="1"/>
  <c r="D67" i="1"/>
  <c r="D66" i="1"/>
  <c r="D65" i="1"/>
  <c r="D64" i="1"/>
  <c r="D63" i="1"/>
  <c r="D62" i="1"/>
  <c r="C60" i="1"/>
  <c r="D60" i="1" s="1"/>
  <c r="C59" i="1"/>
  <c r="D59" i="1" s="1"/>
  <c r="C58" i="1"/>
  <c r="D58" i="1" s="1"/>
  <c r="C57" i="1"/>
  <c r="D57" i="1" s="1"/>
  <c r="C56" i="1"/>
  <c r="D56" i="1" s="1"/>
  <c r="D55" i="1"/>
  <c r="D54" i="1"/>
  <c r="D53" i="1"/>
  <c r="D52" i="1"/>
  <c r="D51" i="1"/>
  <c r="D50" i="1"/>
  <c r="D49" i="1"/>
  <c r="D48" i="1"/>
  <c r="D47" i="1"/>
  <c r="D46" i="1"/>
  <c r="D45" i="1"/>
  <c r="C42" i="1"/>
  <c r="D42" i="1" s="1"/>
  <c r="C41" i="1"/>
  <c r="D41" i="1" s="1"/>
  <c r="C40" i="1"/>
  <c r="D40" i="1" s="1"/>
  <c r="C39" i="1"/>
  <c r="D39" i="1" s="1"/>
  <c r="C38" i="1"/>
  <c r="D38" i="1" s="1"/>
  <c r="D37" i="1"/>
  <c r="D36" i="1"/>
  <c r="D35" i="1"/>
  <c r="D34" i="1"/>
  <c r="D33" i="1"/>
  <c r="D32" i="1"/>
  <c r="D31" i="1"/>
  <c r="D30" i="1"/>
  <c r="D29" i="1"/>
  <c r="D28" i="1"/>
  <c r="D27" i="1"/>
  <c r="C25" i="1"/>
  <c r="D25" i="1" s="1"/>
  <c r="C24" i="1"/>
  <c r="D24" i="1" s="1"/>
  <c r="C23" i="1"/>
  <c r="D23" i="1" s="1"/>
  <c r="C22" i="1"/>
  <c r="D22" i="1" s="1"/>
  <c r="C21" i="1"/>
  <c r="D21" i="1" s="1"/>
  <c r="D20" i="1"/>
  <c r="D19" i="1"/>
  <c r="D18" i="1"/>
  <c r="D17" i="1"/>
  <c r="D16" i="1"/>
  <c r="D15" i="1"/>
  <c r="D14" i="1"/>
  <c r="D13" i="1"/>
  <c r="D12" i="1"/>
  <c r="D11" i="1"/>
  <c r="D10" i="1"/>
  <c r="N16" i="11"/>
  <c r="N9" i="11"/>
  <c r="I16" i="11"/>
  <c r="K16" i="11"/>
  <c r="J16" i="11"/>
  <c r="H16" i="11"/>
  <c r="I9" i="11"/>
  <c r="J9" i="11"/>
  <c r="K9" i="11"/>
  <c r="H9" i="11"/>
  <c r="G9" i="11"/>
  <c r="G16" i="11" l="1"/>
  <c r="F16" i="11"/>
  <c r="F9" i="11"/>
  <c r="B3" i="11"/>
  <c r="O46" i="6" l="1"/>
  <c r="N46" i="6"/>
  <c r="O37" i="6"/>
  <c r="N37" i="6"/>
  <c r="O36" i="6"/>
  <c r="N36" i="6"/>
  <c r="O35" i="6"/>
  <c r="N35" i="6"/>
  <c r="U34" i="6"/>
  <c r="T34" i="6"/>
  <c r="S34" i="6"/>
  <c r="R34" i="6"/>
  <c r="Q34" i="6"/>
  <c r="O34" i="6" s="1"/>
  <c r="P34" i="6"/>
  <c r="N34" i="6"/>
  <c r="O33" i="6"/>
  <c r="N33" i="6"/>
  <c r="O32" i="6"/>
  <c r="N32" i="6"/>
  <c r="U31" i="6"/>
  <c r="T31" i="6"/>
  <c r="S31" i="6"/>
  <c r="R31" i="6"/>
  <c r="Q31" i="6"/>
  <c r="O31" i="6" s="1"/>
  <c r="P31" i="6"/>
  <c r="N31" i="6"/>
  <c r="O29" i="6"/>
  <c r="N29" i="6"/>
  <c r="O20" i="6"/>
  <c r="N20" i="6"/>
  <c r="O19" i="6"/>
  <c r="N19" i="6"/>
  <c r="O18" i="6"/>
  <c r="N18" i="6"/>
  <c r="U17" i="6"/>
  <c r="T17" i="6"/>
  <c r="S17" i="6"/>
  <c r="R17" i="6"/>
  <c r="Q17" i="6"/>
  <c r="P17" i="6"/>
  <c r="N17" i="6" s="1"/>
  <c r="O16" i="6"/>
  <c r="N16" i="6"/>
  <c r="O15" i="6"/>
  <c r="N15" i="6"/>
  <c r="U14" i="6"/>
  <c r="T14" i="6"/>
  <c r="S14" i="6"/>
  <c r="R14" i="6"/>
  <c r="Q14" i="6"/>
  <c r="O14" i="6" s="1"/>
  <c r="P14" i="6"/>
  <c r="N14" i="6" s="1"/>
  <c r="U11" i="6"/>
  <c r="T11" i="6"/>
  <c r="S11" i="6"/>
  <c r="R11" i="6"/>
  <c r="Q11" i="6"/>
  <c r="P11" i="6"/>
  <c r="N11" i="6" s="1"/>
  <c r="O11" i="6"/>
  <c r="O10" i="6"/>
  <c r="N10" i="6"/>
  <c r="E36" i="6"/>
  <c r="D36" i="6"/>
  <c r="E35" i="6"/>
  <c r="D35" i="6"/>
  <c r="E33" i="6"/>
  <c r="D33" i="6"/>
  <c r="E32" i="6"/>
  <c r="D32" i="6"/>
  <c r="K38" i="4" s="1"/>
  <c r="D16" i="6"/>
  <c r="E16" i="6"/>
  <c r="D18" i="6"/>
  <c r="E18" i="6"/>
  <c r="D19" i="6"/>
  <c r="E19" i="6"/>
  <c r="E15" i="6"/>
  <c r="D15" i="6"/>
  <c r="K21" i="4" s="1"/>
  <c r="K20" i="4" s="1"/>
  <c r="K47" i="7"/>
  <c r="K81" i="7" s="1"/>
  <c r="K37" i="7"/>
  <c r="K71" i="7" s="1"/>
  <c r="K38" i="7"/>
  <c r="K72" i="7" s="1"/>
  <c r="K36" i="7"/>
  <c r="K70" i="7" s="1"/>
  <c r="K34" i="7"/>
  <c r="K68" i="7" s="1"/>
  <c r="K33" i="7"/>
  <c r="K67" i="7" s="1"/>
  <c r="K30" i="7"/>
  <c r="K64" i="7" s="1"/>
  <c r="K20" i="7"/>
  <c r="K54" i="7" s="1"/>
  <c r="K21" i="7"/>
  <c r="K55" i="7" s="1"/>
  <c r="K19" i="7"/>
  <c r="K53" i="7" s="1"/>
  <c r="K17" i="7"/>
  <c r="K51" i="7" s="1"/>
  <c r="K16" i="7"/>
  <c r="K50" i="7" s="1"/>
  <c r="K42" i="4"/>
  <c r="K41" i="4"/>
  <c r="K39" i="4"/>
  <c r="D37" i="6"/>
  <c r="K43" i="4" s="1"/>
  <c r="E37" i="6"/>
  <c r="D46" i="6"/>
  <c r="K52" i="4" s="1"/>
  <c r="E46" i="6"/>
  <c r="D29" i="6"/>
  <c r="E29" i="6"/>
  <c r="E20" i="6"/>
  <c r="D20" i="6"/>
  <c r="K26" i="4" s="1"/>
  <c r="E10" i="6"/>
  <c r="K35" i="4" l="1"/>
  <c r="O17" i="6"/>
  <c r="M10" i="10"/>
  <c r="M24" i="10"/>
  <c r="M17" i="10"/>
  <c r="M9" i="10" l="1"/>
  <c r="Q24" i="10"/>
  <c r="P24" i="10"/>
  <c r="O24" i="10"/>
  <c r="N24" i="10"/>
  <c r="Q17" i="10"/>
  <c r="P17" i="10"/>
  <c r="O17" i="10"/>
  <c r="N17" i="10"/>
  <c r="O10" i="10"/>
  <c r="O9" i="10" s="1"/>
  <c r="P10" i="10"/>
  <c r="Q10" i="10"/>
  <c r="Q9" i="10" s="1"/>
  <c r="N10" i="10"/>
  <c r="N9" i="10" s="1"/>
  <c r="P9" i="10" l="1"/>
  <c r="L9" i="10" s="1"/>
  <c r="J11" i="1"/>
  <c r="L16" i="7"/>
  <c r="L24" i="10" l="1"/>
  <c r="N13" i="4" s="1"/>
  <c r="N16" i="4" s="1"/>
  <c r="J24" i="10"/>
  <c r="I24" i="10"/>
  <c r="L17" i="10"/>
  <c r="J17" i="10"/>
  <c r="I17" i="10"/>
  <c r="L10" i="10"/>
  <c r="J10" i="10"/>
  <c r="I10" i="10"/>
  <c r="I9" i="10" s="1"/>
  <c r="J9" i="10" l="1"/>
  <c r="B3" i="10"/>
  <c r="I15" i="8" l="1"/>
  <c r="E25" i="8" l="1"/>
  <c r="E21" i="8"/>
  <c r="E22" i="8"/>
  <c r="E13" i="8"/>
  <c r="U11" i="8"/>
  <c r="U10" i="8"/>
  <c r="U9" i="8"/>
  <c r="P11" i="8"/>
  <c r="P10" i="8"/>
  <c r="P9" i="8"/>
  <c r="I10" i="8"/>
  <c r="I11" i="8"/>
  <c r="I9" i="8"/>
  <c r="B3" i="8"/>
  <c r="I20" i="8"/>
  <c r="H19" i="8"/>
  <c r="U13" i="8"/>
  <c r="U12" i="8"/>
  <c r="L12" i="8"/>
  <c r="E37" i="8" s="1"/>
  <c r="F12" i="8"/>
  <c r="G12" i="8"/>
  <c r="O12" i="8"/>
  <c r="O13" i="8" s="1"/>
  <c r="N12" i="8"/>
  <c r="N13" i="8" s="1"/>
  <c r="G28" i="8" l="1"/>
  <c r="G27" i="8"/>
  <c r="G25" i="8"/>
  <c r="F25" i="8"/>
  <c r="E35" i="8"/>
  <c r="E27" i="8"/>
  <c r="E26" i="8"/>
  <c r="E30" i="8"/>
  <c r="E31" i="8"/>
  <c r="E36" i="8"/>
  <c r="P12" i="8"/>
  <c r="E33" i="8"/>
  <c r="E28" i="8"/>
  <c r="E23" i="8"/>
  <c r="E32" i="8"/>
  <c r="G38" i="8"/>
  <c r="G35" i="8"/>
  <c r="G32" i="8"/>
  <c r="G26" i="8"/>
  <c r="G36" i="8"/>
  <c r="G33" i="8"/>
  <c r="G30" i="8"/>
  <c r="G37" i="8"/>
  <c r="G31" i="8"/>
  <c r="G23" i="8"/>
  <c r="G19" i="8" s="1"/>
  <c r="G13" i="8"/>
  <c r="L13" i="8"/>
  <c r="E38" i="8"/>
  <c r="F26" i="8"/>
  <c r="M12" i="8"/>
  <c r="F35" i="8" s="1"/>
  <c r="F13" i="8"/>
  <c r="F22" i="8"/>
  <c r="F23" i="8"/>
  <c r="F31" i="8"/>
  <c r="F27" i="8" l="1"/>
  <c r="F33" i="8"/>
  <c r="F28" i="8"/>
  <c r="F19" i="8"/>
  <c r="F32" i="8"/>
  <c r="F36" i="8"/>
  <c r="F37" i="8"/>
  <c r="G24" i="8"/>
  <c r="E34" i="8"/>
  <c r="I23" i="8"/>
  <c r="E29" i="8"/>
  <c r="G34" i="8"/>
  <c r="E24" i="8"/>
  <c r="E19" i="8"/>
  <c r="I21" i="8"/>
  <c r="F38" i="8"/>
  <c r="M13" i="8"/>
  <c r="P13" i="8" s="1"/>
  <c r="F30" i="8"/>
  <c r="G29" i="8"/>
  <c r="I22" i="8"/>
  <c r="G39" i="8" l="1"/>
  <c r="F29" i="8"/>
  <c r="F24" i="8"/>
  <c r="F34" i="8"/>
  <c r="E39" i="8"/>
  <c r="I19" i="8"/>
  <c r="F39" i="8" l="1"/>
  <c r="K25" i="4" l="1"/>
  <c r="K24" i="4"/>
  <c r="K23" i="4" s="1"/>
  <c r="K22" i="4"/>
  <c r="F73" i="7"/>
  <c r="F56" i="7"/>
  <c r="F27" i="4"/>
  <c r="F44" i="4"/>
  <c r="F22" i="7"/>
  <c r="F39" i="7"/>
  <c r="L81" i="7"/>
  <c r="D81" i="7"/>
  <c r="L72" i="7"/>
  <c r="H72" i="7"/>
  <c r="D72" i="7"/>
  <c r="L71" i="7"/>
  <c r="H71" i="7"/>
  <c r="D71" i="7"/>
  <c r="L70" i="7"/>
  <c r="L69" i="7" s="1"/>
  <c r="H70" i="7"/>
  <c r="D70" i="7"/>
  <c r="K69" i="7"/>
  <c r="F69" i="7"/>
  <c r="E69" i="7"/>
  <c r="L68" i="7"/>
  <c r="H68" i="7"/>
  <c r="D68" i="7"/>
  <c r="L67" i="7"/>
  <c r="L66" i="7" s="1"/>
  <c r="H67" i="7"/>
  <c r="D67" i="7"/>
  <c r="K66" i="7"/>
  <c r="F66" i="7"/>
  <c r="E66" i="7"/>
  <c r="L64" i="7"/>
  <c r="D64" i="7"/>
  <c r="P60" i="7"/>
  <c r="O60" i="7"/>
  <c r="P59" i="7"/>
  <c r="O59" i="7"/>
  <c r="P58" i="7"/>
  <c r="O58" i="7"/>
  <c r="L55" i="7"/>
  <c r="H55" i="7"/>
  <c r="D55" i="7"/>
  <c r="L54" i="7"/>
  <c r="H54" i="7"/>
  <c r="D54" i="7"/>
  <c r="L53" i="7"/>
  <c r="L52" i="7" s="1"/>
  <c r="H53" i="7"/>
  <c r="D53" i="7"/>
  <c r="K52" i="7"/>
  <c r="H52" i="7"/>
  <c r="F52" i="7"/>
  <c r="E52" i="7"/>
  <c r="L51" i="7"/>
  <c r="H51" i="7"/>
  <c r="D51" i="7"/>
  <c r="L50" i="7"/>
  <c r="H50" i="7"/>
  <c r="D50" i="7"/>
  <c r="K49" i="7"/>
  <c r="F49" i="7"/>
  <c r="F48" i="7" s="1"/>
  <c r="E49" i="7"/>
  <c r="L49" i="7" l="1"/>
  <c r="H66" i="7"/>
  <c r="H49" i="7"/>
  <c r="H69" i="7"/>
  <c r="L47" i="7"/>
  <c r="H47" i="7"/>
  <c r="D47" i="7"/>
  <c r="L38" i="7"/>
  <c r="H38" i="7"/>
  <c r="D38" i="7"/>
  <c r="L37" i="7"/>
  <c r="H37" i="7"/>
  <c r="D37" i="7"/>
  <c r="L36" i="7"/>
  <c r="L35" i="7" s="1"/>
  <c r="H36" i="7"/>
  <c r="D36" i="7"/>
  <c r="K35" i="7"/>
  <c r="F35" i="7"/>
  <c r="E35" i="7"/>
  <c r="L34" i="7"/>
  <c r="H34" i="7"/>
  <c r="D34" i="7"/>
  <c r="L33" i="7"/>
  <c r="H33" i="7"/>
  <c r="D33" i="7"/>
  <c r="L32" i="7"/>
  <c r="K32" i="7"/>
  <c r="H32" i="7"/>
  <c r="F32" i="7"/>
  <c r="E32" i="7"/>
  <c r="L30" i="7"/>
  <c r="H30" i="7"/>
  <c r="D30" i="7"/>
  <c r="P26" i="7"/>
  <c r="O26" i="7"/>
  <c r="P25" i="7"/>
  <c r="O25" i="7"/>
  <c r="I54" i="7" s="1"/>
  <c r="P24" i="7"/>
  <c r="O24" i="7"/>
  <c r="I51" i="7" s="1"/>
  <c r="L21" i="7"/>
  <c r="H21" i="7"/>
  <c r="D21" i="7"/>
  <c r="L20" i="7"/>
  <c r="H20" i="7"/>
  <c r="D20" i="7"/>
  <c r="L19" i="7"/>
  <c r="H19" i="7"/>
  <c r="D19" i="7"/>
  <c r="K18" i="7"/>
  <c r="F18" i="7"/>
  <c r="E18" i="7"/>
  <c r="L17" i="7"/>
  <c r="H17" i="7"/>
  <c r="I17" i="7" s="1"/>
  <c r="D17" i="7"/>
  <c r="H16" i="7"/>
  <c r="I16" i="7" s="1"/>
  <c r="I15" i="7" s="1"/>
  <c r="D16" i="7"/>
  <c r="L15" i="7"/>
  <c r="K15" i="7"/>
  <c r="F15" i="7"/>
  <c r="F13" i="7" s="1"/>
  <c r="F82" i="7" s="1"/>
  <c r="E15" i="7"/>
  <c r="K34" i="6"/>
  <c r="J34" i="6"/>
  <c r="I34" i="6"/>
  <c r="H34" i="6"/>
  <c r="G34" i="6"/>
  <c r="E34" i="6" s="1"/>
  <c r="F34" i="6"/>
  <c r="D34" i="6" s="1"/>
  <c r="K31" i="6"/>
  <c r="J31" i="6"/>
  <c r="I31" i="6"/>
  <c r="H31" i="6"/>
  <c r="G31" i="6"/>
  <c r="E31" i="6" s="1"/>
  <c r="F31" i="6"/>
  <c r="D31" i="6" s="1"/>
  <c r="K17" i="6"/>
  <c r="J17" i="6"/>
  <c r="I17" i="6"/>
  <c r="H17" i="6"/>
  <c r="D17" i="6" s="1"/>
  <c r="G17" i="6"/>
  <c r="E17" i="6" s="1"/>
  <c r="K14" i="6"/>
  <c r="J14" i="6"/>
  <c r="H14" i="6"/>
  <c r="I14" i="6"/>
  <c r="G14" i="6"/>
  <c r="E14" i="6" s="1"/>
  <c r="F14" i="6"/>
  <c r="D14" i="6" s="1"/>
  <c r="K11" i="6"/>
  <c r="J11" i="6"/>
  <c r="I11" i="6"/>
  <c r="H11" i="6"/>
  <c r="D11" i="6" s="1"/>
  <c r="G11" i="6"/>
  <c r="E11" i="6" s="1"/>
  <c r="L18" i="7" l="1"/>
  <c r="I37" i="7"/>
  <c r="I67" i="7"/>
  <c r="I19" i="7"/>
  <c r="I20" i="7"/>
  <c r="I70" i="7"/>
  <c r="I55" i="7"/>
  <c r="I50" i="7"/>
  <c r="I49" i="7" s="1"/>
  <c r="I53" i="7"/>
  <c r="I52" i="7" s="1"/>
  <c r="I72" i="7"/>
  <c r="I68" i="7"/>
  <c r="I71" i="7"/>
  <c r="H18" i="7"/>
  <c r="I34" i="7"/>
  <c r="I36" i="7"/>
  <c r="I35" i="7" s="1"/>
  <c r="I38" i="7"/>
  <c r="I47" i="7"/>
  <c r="I30" i="7"/>
  <c r="I18" i="7"/>
  <c r="I21" i="7"/>
  <c r="H35" i="7"/>
  <c r="I33" i="7"/>
  <c r="H15" i="7"/>
  <c r="I69" i="7" l="1"/>
  <c r="I66" i="7"/>
  <c r="I32" i="7"/>
  <c r="L77" i="1" l="1"/>
  <c r="M77" i="1" s="1"/>
  <c r="O77" i="1" s="1"/>
  <c r="I77" i="1"/>
  <c r="J77" i="1" s="1"/>
  <c r="H81" i="7" s="1"/>
  <c r="I81" i="7" s="1"/>
  <c r="L76" i="1"/>
  <c r="M76" i="1" s="1"/>
  <c r="O76" i="1" s="1"/>
  <c r="I76" i="1"/>
  <c r="J76" i="1" s="1"/>
  <c r="L75" i="1"/>
  <c r="M75" i="1" s="1"/>
  <c r="O75" i="1" s="1"/>
  <c r="I75" i="1"/>
  <c r="J75" i="1" s="1"/>
  <c r="L74" i="1"/>
  <c r="M74" i="1" s="1"/>
  <c r="O74" i="1" s="1"/>
  <c r="I74" i="1"/>
  <c r="J74" i="1" s="1"/>
  <c r="L73" i="1"/>
  <c r="M73" i="1" s="1"/>
  <c r="O73" i="1" s="1"/>
  <c r="I73" i="1"/>
  <c r="J73" i="1" s="1"/>
  <c r="M72" i="1"/>
  <c r="J72" i="1"/>
  <c r="H80" i="7" s="1"/>
  <c r="M71" i="1"/>
  <c r="J71" i="1"/>
  <c r="H79" i="7" s="1"/>
  <c r="M70" i="1"/>
  <c r="O70" i="1" s="1"/>
  <c r="J70" i="1"/>
  <c r="M69" i="1"/>
  <c r="O69" i="1" s="1"/>
  <c r="J69" i="1"/>
  <c r="M68" i="1"/>
  <c r="J68" i="1"/>
  <c r="M67" i="1"/>
  <c r="J67" i="1"/>
  <c r="H77" i="7" s="1"/>
  <c r="M66" i="1"/>
  <c r="J66" i="1"/>
  <c r="H76" i="7" s="1"/>
  <c r="M65" i="1"/>
  <c r="J65" i="1"/>
  <c r="H75" i="7" s="1"/>
  <c r="M64" i="1"/>
  <c r="O64" i="1" s="1"/>
  <c r="J64" i="1"/>
  <c r="M63" i="1"/>
  <c r="O63" i="1" s="1"/>
  <c r="J63" i="1"/>
  <c r="M62" i="1"/>
  <c r="J62" i="1"/>
  <c r="L60" i="1"/>
  <c r="M60" i="1" s="1"/>
  <c r="O60" i="1" s="1"/>
  <c r="I60" i="1"/>
  <c r="J60" i="1" s="1"/>
  <c r="H64" i="7" s="1"/>
  <c r="I64" i="7" s="1"/>
  <c r="L59" i="1"/>
  <c r="M59" i="1" s="1"/>
  <c r="O59" i="1" s="1"/>
  <c r="I59" i="1"/>
  <c r="J59" i="1" s="1"/>
  <c r="L58" i="1"/>
  <c r="M58" i="1" s="1"/>
  <c r="O58" i="1" s="1"/>
  <c r="I58" i="1"/>
  <c r="J58" i="1" s="1"/>
  <c r="L57" i="1"/>
  <c r="M57" i="1" s="1"/>
  <c r="O57" i="1" s="1"/>
  <c r="I57" i="1"/>
  <c r="J57" i="1" s="1"/>
  <c r="L56" i="1"/>
  <c r="M56" i="1" s="1"/>
  <c r="O56" i="1" s="1"/>
  <c r="I56" i="1"/>
  <c r="J56" i="1" s="1"/>
  <c r="M55" i="1"/>
  <c r="J55" i="1"/>
  <c r="H63" i="7" s="1"/>
  <c r="M54" i="1"/>
  <c r="J54" i="1"/>
  <c r="H62" i="7" s="1"/>
  <c r="M53" i="1"/>
  <c r="O53" i="1" s="1"/>
  <c r="J53" i="1"/>
  <c r="M52" i="1"/>
  <c r="O52" i="1" s="1"/>
  <c r="J52" i="1"/>
  <c r="M51" i="1"/>
  <c r="O51" i="1" s="1"/>
  <c r="J51" i="1"/>
  <c r="H61" i="7" s="1"/>
  <c r="M50" i="1"/>
  <c r="J50" i="1"/>
  <c r="H60" i="7" s="1"/>
  <c r="M49" i="1"/>
  <c r="J49" i="1"/>
  <c r="H59" i="7" s="1"/>
  <c r="M48" i="1"/>
  <c r="J48" i="1"/>
  <c r="H58" i="7" s="1"/>
  <c r="M47" i="1"/>
  <c r="O47" i="1" s="1"/>
  <c r="J47" i="1"/>
  <c r="M46" i="1"/>
  <c r="O46" i="1" s="1"/>
  <c r="J46" i="1"/>
  <c r="M45" i="1"/>
  <c r="O45" i="1" s="1"/>
  <c r="J45" i="1"/>
  <c r="H57" i="7" s="1"/>
  <c r="L53" i="4"/>
  <c r="I55" i="4"/>
  <c r="I54" i="4"/>
  <c r="I53" i="4" s="1"/>
  <c r="F53" i="4"/>
  <c r="P29" i="4"/>
  <c r="P30" i="4"/>
  <c r="P31" i="4"/>
  <c r="L52" i="4"/>
  <c r="H52" i="4"/>
  <c r="I52" i="4" s="1"/>
  <c r="D52" i="4"/>
  <c r="L43" i="4"/>
  <c r="H43" i="4"/>
  <c r="D43" i="4"/>
  <c r="L42" i="4"/>
  <c r="H42" i="4"/>
  <c r="I42" i="4" s="1"/>
  <c r="D42" i="4"/>
  <c r="L41" i="4"/>
  <c r="H41" i="4"/>
  <c r="I41" i="4" s="1"/>
  <c r="D41" i="4"/>
  <c r="K40" i="4"/>
  <c r="F40" i="4"/>
  <c r="E40" i="4"/>
  <c r="L39" i="4"/>
  <c r="H39" i="4"/>
  <c r="I39" i="4" s="1"/>
  <c r="D39" i="4"/>
  <c r="L38" i="4"/>
  <c r="L37" i="4" s="1"/>
  <c r="H38" i="4"/>
  <c r="I38" i="4" s="1"/>
  <c r="D38" i="4"/>
  <c r="K37" i="4"/>
  <c r="H37" i="4"/>
  <c r="F37" i="4"/>
  <c r="E37" i="4"/>
  <c r="O29" i="4"/>
  <c r="L35" i="4"/>
  <c r="L42" i="1"/>
  <c r="M42" i="1" s="1"/>
  <c r="O42" i="1" s="1"/>
  <c r="I42" i="1"/>
  <c r="J42" i="1" s="1"/>
  <c r="L41" i="1"/>
  <c r="M41" i="1" s="1"/>
  <c r="O41" i="1" s="1"/>
  <c r="I41" i="1"/>
  <c r="J41" i="1" s="1"/>
  <c r="L40" i="1"/>
  <c r="M40" i="1" s="1"/>
  <c r="O40" i="1" s="1"/>
  <c r="I40" i="1"/>
  <c r="J40" i="1" s="1"/>
  <c r="L39" i="1"/>
  <c r="M39" i="1" s="1"/>
  <c r="O39" i="1" s="1"/>
  <c r="I39" i="1"/>
  <c r="J39" i="1" s="1"/>
  <c r="L25" i="1"/>
  <c r="M25" i="1" s="1"/>
  <c r="O25" i="1" s="1"/>
  <c r="L24" i="1"/>
  <c r="M24" i="1" s="1"/>
  <c r="O24" i="1" s="1"/>
  <c r="L23" i="1"/>
  <c r="M23" i="1" s="1"/>
  <c r="O23" i="1" s="1"/>
  <c r="L22" i="1"/>
  <c r="M22" i="1" s="1"/>
  <c r="O22" i="1" s="1"/>
  <c r="I25" i="1"/>
  <c r="J25" i="1" s="1"/>
  <c r="I24" i="1"/>
  <c r="J24" i="1" s="1"/>
  <c r="I23" i="1"/>
  <c r="J23" i="1" s="1"/>
  <c r="I22" i="1"/>
  <c r="J22" i="1" s="1"/>
  <c r="J10" i="1"/>
  <c r="D21" i="4"/>
  <c r="H21" i="4"/>
  <c r="I21" i="4" s="1"/>
  <c r="F23" i="4"/>
  <c r="E23" i="4"/>
  <c r="F20" i="4"/>
  <c r="E20" i="4"/>
  <c r="J13" i="4"/>
  <c r="G13" i="4"/>
  <c r="H35" i="4"/>
  <c r="D35" i="4"/>
  <c r="L21" i="4"/>
  <c r="D22" i="4"/>
  <c r="D24" i="4"/>
  <c r="D25" i="4"/>
  <c r="D26" i="4"/>
  <c r="H26" i="4"/>
  <c r="H25" i="4"/>
  <c r="H24" i="4"/>
  <c r="H23" i="4" s="1"/>
  <c r="H22" i="4"/>
  <c r="K58" i="7" l="1"/>
  <c r="L58" i="7" s="1"/>
  <c r="O48" i="1"/>
  <c r="K59" i="7"/>
  <c r="L59" i="7" s="1"/>
  <c r="O49" i="1"/>
  <c r="K60" i="7"/>
  <c r="L60" i="7" s="1"/>
  <c r="O50" i="1"/>
  <c r="K62" i="7"/>
  <c r="L62" i="7" s="1"/>
  <c r="O54" i="1"/>
  <c r="K63" i="7"/>
  <c r="L63" i="7" s="1"/>
  <c r="O55" i="1"/>
  <c r="K74" i="7"/>
  <c r="O62" i="1"/>
  <c r="K75" i="7"/>
  <c r="L75" i="7" s="1"/>
  <c r="O65" i="1"/>
  <c r="K76" i="7"/>
  <c r="L76" i="7" s="1"/>
  <c r="O66" i="1"/>
  <c r="K77" i="7"/>
  <c r="L77" i="7" s="1"/>
  <c r="O67" i="1"/>
  <c r="K78" i="7"/>
  <c r="L78" i="7" s="1"/>
  <c r="O68" i="1"/>
  <c r="K79" i="7"/>
  <c r="L79" i="7" s="1"/>
  <c r="O71" i="1"/>
  <c r="K80" i="7"/>
  <c r="L80" i="7" s="1"/>
  <c r="O72" i="1"/>
  <c r="E58" i="7"/>
  <c r="D58" i="7" s="1"/>
  <c r="I58" i="7"/>
  <c r="E61" i="7"/>
  <c r="D61" i="7" s="1"/>
  <c r="I61" i="7"/>
  <c r="E62" i="7"/>
  <c r="D62" i="7" s="1"/>
  <c r="I62" i="7"/>
  <c r="E59" i="7"/>
  <c r="D59" i="7" s="1"/>
  <c r="I59" i="7"/>
  <c r="E63" i="7"/>
  <c r="D63" i="7" s="1"/>
  <c r="I63" i="7"/>
  <c r="H74" i="7"/>
  <c r="E75" i="7"/>
  <c r="D75" i="7" s="1"/>
  <c r="I75" i="7"/>
  <c r="H78" i="7"/>
  <c r="E79" i="7"/>
  <c r="D79" i="7" s="1"/>
  <c r="I79" i="7"/>
  <c r="E57" i="7"/>
  <c r="D57" i="7" s="1"/>
  <c r="H56" i="7"/>
  <c r="E56" i="7" s="1"/>
  <c r="I57" i="7"/>
  <c r="L74" i="7"/>
  <c r="L73" i="7" s="1"/>
  <c r="K73" i="7"/>
  <c r="E77" i="7"/>
  <c r="D77" i="7" s="1"/>
  <c r="I77" i="7"/>
  <c r="K57" i="7"/>
  <c r="E60" i="7"/>
  <c r="D60" i="7" s="1"/>
  <c r="I60" i="7"/>
  <c r="K61" i="7"/>
  <c r="L61" i="7" s="1"/>
  <c r="E76" i="7"/>
  <c r="D76" i="7" s="1"/>
  <c r="I76" i="7"/>
  <c r="E80" i="7"/>
  <c r="D80" i="7" s="1"/>
  <c r="I80" i="7"/>
  <c r="L40" i="4"/>
  <c r="I37" i="4"/>
  <c r="H40" i="4"/>
  <c r="F18" i="4"/>
  <c r="H20" i="4"/>
  <c r="D15" i="4"/>
  <c r="D16" i="4"/>
  <c r="D17" i="4"/>
  <c r="E78" i="7" l="1"/>
  <c r="D78" i="7" s="1"/>
  <c r="I78" i="7"/>
  <c r="E74" i="7"/>
  <c r="D74" i="7" s="1"/>
  <c r="H73" i="7"/>
  <c r="E73" i="7" s="1"/>
  <c r="I74" i="7"/>
  <c r="I73" i="7" s="1"/>
  <c r="L57" i="7"/>
  <c r="L56" i="7" s="1"/>
  <c r="L48" i="7" s="1"/>
  <c r="K56" i="7"/>
  <c r="I56" i="7"/>
  <c r="I48" i="7" s="1"/>
  <c r="L26" i="4"/>
  <c r="L25" i="4"/>
  <c r="L24" i="4"/>
  <c r="L23" i="4" s="1"/>
  <c r="L22" i="4" l="1"/>
  <c r="L20" i="4" s="1"/>
  <c r="O31" i="4"/>
  <c r="O30" i="4"/>
  <c r="I25" i="4" s="1"/>
  <c r="L38" i="1"/>
  <c r="M38" i="1" s="1"/>
  <c r="O38" i="1" s="1"/>
  <c r="I38" i="1"/>
  <c r="J38" i="1" s="1"/>
  <c r="I21" i="1"/>
  <c r="L21" i="1"/>
  <c r="M21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0" i="1"/>
  <c r="M19" i="1"/>
  <c r="O19" i="1" s="1"/>
  <c r="M18" i="1"/>
  <c r="O18" i="1" s="1"/>
  <c r="M17" i="1"/>
  <c r="O17" i="1" s="1"/>
  <c r="M16" i="1"/>
  <c r="O16" i="1" s="1"/>
  <c r="M15" i="1"/>
  <c r="M14" i="1"/>
  <c r="O14" i="1" s="1"/>
  <c r="M13" i="1"/>
  <c r="O13" i="1" s="1"/>
  <c r="M12" i="1"/>
  <c r="O12" i="1" s="1"/>
  <c r="M11" i="1"/>
  <c r="O11" i="1" s="1"/>
  <c r="M10" i="1"/>
  <c r="J37" i="1"/>
  <c r="J36" i="1"/>
  <c r="J35" i="1"/>
  <c r="J34" i="1"/>
  <c r="J33" i="1"/>
  <c r="J32" i="1"/>
  <c r="J31" i="1"/>
  <c r="J30" i="1"/>
  <c r="J29" i="1"/>
  <c r="J28" i="1"/>
  <c r="J27" i="1"/>
  <c r="J12" i="1"/>
  <c r="J13" i="1"/>
  <c r="J14" i="1"/>
  <c r="J15" i="1"/>
  <c r="J16" i="1"/>
  <c r="J17" i="1"/>
  <c r="J18" i="1"/>
  <c r="J19" i="1"/>
  <c r="J20" i="1"/>
  <c r="J21" i="1"/>
  <c r="L13" i="4"/>
  <c r="I15" i="4"/>
  <c r="I16" i="4"/>
  <c r="I17" i="4"/>
  <c r="K23" i="7" l="1"/>
  <c r="O10" i="1"/>
  <c r="K25" i="7"/>
  <c r="L25" i="7" s="1"/>
  <c r="O15" i="1"/>
  <c r="K28" i="7"/>
  <c r="L28" i="7" s="1"/>
  <c r="O20" i="1"/>
  <c r="K29" i="7"/>
  <c r="L29" i="7" s="1"/>
  <c r="O21" i="1"/>
  <c r="I26" i="4"/>
  <c r="I35" i="4"/>
  <c r="H46" i="7"/>
  <c r="H51" i="4"/>
  <c r="H31" i="4"/>
  <c r="I31" i="4" s="1"/>
  <c r="H26" i="7"/>
  <c r="L23" i="7"/>
  <c r="L22" i="7" s="1"/>
  <c r="L13" i="7" s="1"/>
  <c r="L82" i="7" s="1"/>
  <c r="K22" i="7"/>
  <c r="K31" i="4"/>
  <c r="L31" i="4" s="1"/>
  <c r="K26" i="7"/>
  <c r="L26" i="7" s="1"/>
  <c r="K41" i="7"/>
  <c r="L41" i="7" s="1"/>
  <c r="K46" i="4"/>
  <c r="L46" i="4" s="1"/>
  <c r="K45" i="7"/>
  <c r="L45" i="7" s="1"/>
  <c r="K50" i="4"/>
  <c r="L50" i="4" s="1"/>
  <c r="H41" i="7"/>
  <c r="H46" i="4"/>
  <c r="H45" i="7"/>
  <c r="H50" i="4"/>
  <c r="H33" i="4"/>
  <c r="I33" i="4" s="1"/>
  <c r="H28" i="7"/>
  <c r="H27" i="7"/>
  <c r="H29" i="4"/>
  <c r="I29" i="4" s="1"/>
  <c r="H24" i="7"/>
  <c r="H23" i="7"/>
  <c r="H42" i="7"/>
  <c r="H47" i="4"/>
  <c r="K40" i="7"/>
  <c r="K45" i="4"/>
  <c r="K43" i="7"/>
  <c r="L43" i="7" s="1"/>
  <c r="K48" i="4"/>
  <c r="L48" i="4" s="1"/>
  <c r="H40" i="7"/>
  <c r="H45" i="4"/>
  <c r="H43" i="7"/>
  <c r="H48" i="4"/>
  <c r="K44" i="7"/>
  <c r="L44" i="7" s="1"/>
  <c r="K49" i="4"/>
  <c r="L49" i="4" s="1"/>
  <c r="H34" i="4"/>
  <c r="I34" i="4" s="1"/>
  <c r="H29" i="7"/>
  <c r="H30" i="4"/>
  <c r="I30" i="4" s="1"/>
  <c r="H25" i="7"/>
  <c r="H44" i="7"/>
  <c r="H49" i="4"/>
  <c r="K29" i="4"/>
  <c r="L29" i="4" s="1"/>
  <c r="K24" i="7"/>
  <c r="L24" i="7" s="1"/>
  <c r="K27" i="7"/>
  <c r="L27" i="7" s="1"/>
  <c r="K42" i="7"/>
  <c r="L42" i="7" s="1"/>
  <c r="K47" i="4"/>
  <c r="L47" i="4" s="1"/>
  <c r="K46" i="7"/>
  <c r="L46" i="7" s="1"/>
  <c r="K51" i="4"/>
  <c r="L51" i="4" s="1"/>
  <c r="I13" i="4"/>
  <c r="I43" i="4"/>
  <c r="I24" i="4"/>
  <c r="I23" i="4" s="1"/>
  <c r="H32" i="4"/>
  <c r="H28" i="4"/>
  <c r="I28" i="4" s="1"/>
  <c r="K33" i="4"/>
  <c r="L33" i="4" s="1"/>
  <c r="K32" i="4"/>
  <c r="L32" i="4" s="1"/>
  <c r="K34" i="4"/>
  <c r="L34" i="4" s="1"/>
  <c r="K30" i="4"/>
  <c r="L30" i="4" s="1"/>
  <c r="E31" i="4"/>
  <c r="D31" i="4" s="1"/>
  <c r="I22" i="4"/>
  <c r="I20" i="4" s="1"/>
  <c r="K28" i="4"/>
  <c r="L28" i="4" s="1"/>
  <c r="E33" i="4" l="1"/>
  <c r="D33" i="4" s="1"/>
  <c r="E29" i="4"/>
  <c r="D29" i="4" s="1"/>
  <c r="E34" i="4"/>
  <c r="D34" i="4" s="1"/>
  <c r="I49" i="4"/>
  <c r="E49" i="4"/>
  <c r="D49" i="4" s="1"/>
  <c r="E30" i="4"/>
  <c r="D30" i="4" s="1"/>
  <c r="E44" i="7"/>
  <c r="D44" i="7" s="1"/>
  <c r="I44" i="7"/>
  <c r="E29" i="7"/>
  <c r="D29" i="7" s="1"/>
  <c r="I29" i="7"/>
  <c r="I45" i="4"/>
  <c r="E45" i="4"/>
  <c r="D45" i="4" s="1"/>
  <c r="H44" i="4"/>
  <c r="E44" i="4" s="1"/>
  <c r="I47" i="4"/>
  <c r="E47" i="4"/>
  <c r="D47" i="4" s="1"/>
  <c r="E24" i="7"/>
  <c r="D24" i="7" s="1"/>
  <c r="I24" i="7"/>
  <c r="E28" i="7"/>
  <c r="D28" i="7" s="1"/>
  <c r="I28" i="7"/>
  <c r="E45" i="7"/>
  <c r="D45" i="7" s="1"/>
  <c r="I45" i="7"/>
  <c r="E25" i="7"/>
  <c r="D25" i="7" s="1"/>
  <c r="I25" i="7"/>
  <c r="I48" i="4"/>
  <c r="E48" i="4"/>
  <c r="D48" i="4" s="1"/>
  <c r="H39" i="7"/>
  <c r="E39" i="7" s="1"/>
  <c r="E40" i="7"/>
  <c r="D40" i="7" s="1"/>
  <c r="I40" i="7"/>
  <c r="L45" i="4"/>
  <c r="L44" i="4" s="1"/>
  <c r="K44" i="4"/>
  <c r="E42" i="7"/>
  <c r="D42" i="7" s="1"/>
  <c r="I42" i="7"/>
  <c r="I46" i="4"/>
  <c r="E46" i="4"/>
  <c r="D46" i="4" s="1"/>
  <c r="I51" i="4"/>
  <c r="E51" i="4"/>
  <c r="D51" i="4" s="1"/>
  <c r="E43" i="7"/>
  <c r="D43" i="7" s="1"/>
  <c r="I43" i="7"/>
  <c r="L40" i="7"/>
  <c r="L39" i="7" s="1"/>
  <c r="K39" i="7"/>
  <c r="I23" i="7"/>
  <c r="E23" i="7"/>
  <c r="D23" i="7" s="1"/>
  <c r="H22" i="7"/>
  <c r="E22" i="7" s="1"/>
  <c r="E27" i="7"/>
  <c r="D27" i="7" s="1"/>
  <c r="I27" i="7"/>
  <c r="I50" i="4"/>
  <c r="E50" i="4"/>
  <c r="D50" i="4" s="1"/>
  <c r="E41" i="7"/>
  <c r="D41" i="7" s="1"/>
  <c r="I41" i="7"/>
  <c r="I26" i="7"/>
  <c r="E26" i="7"/>
  <c r="D26" i="7" s="1"/>
  <c r="E46" i="7"/>
  <c r="D46" i="7" s="1"/>
  <c r="I46" i="7"/>
  <c r="E32" i="4"/>
  <c r="D32" i="4" s="1"/>
  <c r="I32" i="4"/>
  <c r="I40" i="4"/>
  <c r="E28" i="4"/>
  <c r="D28" i="4" s="1"/>
  <c r="I27" i="4"/>
  <c r="I18" i="4" s="1"/>
  <c r="I56" i="4" s="1"/>
  <c r="H27" i="4"/>
  <c r="E27" i="4" s="1"/>
  <c r="K27" i="4"/>
  <c r="L27" i="4"/>
  <c r="L56" i="4" s="1"/>
  <c r="I22" i="7" l="1"/>
  <c r="I13" i="7" s="1"/>
  <c r="I82" i="7" s="1"/>
  <c r="I44" i="4"/>
  <c r="I39" i="7"/>
  <c r="I12" i="8"/>
  <c r="H12" i="8"/>
  <c r="H27" i="8" l="1"/>
  <c r="I27" i="8" s="1"/>
  <c r="H25" i="8"/>
  <c r="H28" i="8"/>
  <c r="I28" i="8" s="1"/>
  <c r="H26" i="8"/>
  <c r="I26" i="8" s="1"/>
  <c r="H36" i="8"/>
  <c r="I36" i="8" s="1"/>
  <c r="H37" i="8"/>
  <c r="I37" i="8" s="1"/>
  <c r="H13" i="8"/>
  <c r="I13" i="8" s="1"/>
  <c r="H30" i="8"/>
  <c r="H33" i="8"/>
  <c r="I33" i="8" s="1"/>
  <c r="H35" i="8"/>
  <c r="H31" i="8"/>
  <c r="I31" i="8" s="1"/>
  <c r="H38" i="8"/>
  <c r="I38" i="8" s="1"/>
  <c r="H32" i="8"/>
  <c r="I32" i="8" s="1"/>
  <c r="I25" i="8" l="1"/>
  <c r="I24" i="8" s="1"/>
  <c r="H24" i="8"/>
  <c r="H34" i="8"/>
  <c r="I35" i="8"/>
  <c r="I34" i="8" s="1"/>
  <c r="I30" i="8"/>
  <c r="I29" i="8" s="1"/>
  <c r="H29" i="8"/>
  <c r="H39" i="8" l="1"/>
  <c r="I39" i="8"/>
  <c r="D14" i="4"/>
  <c r="F13" i="4"/>
  <c r="D13" i="4" s="1"/>
  <c r="M17" i="4" l="1"/>
  <c r="N17" i="4" s="1"/>
  <c r="M15" i="4"/>
  <c r="N15" i="4" s="1"/>
  <c r="F56" i="4"/>
  <c r="M14" i="4"/>
  <c r="N14" i="4" s="1"/>
</calcChain>
</file>

<file path=xl/comments1.xml><?xml version="1.0" encoding="utf-8"?>
<comments xmlns="http://schemas.openxmlformats.org/spreadsheetml/2006/main">
  <authors>
    <author>Овчинникова Алина Сергеевна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утвержденная агентством по конкретному меропрятию для данной ТСО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утвержденные агентством на момент принятия постановления по выпадающим
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на основании фактических средних данных за 3 предыдущих года (при отуствии – за 2, года или за 1 год), но не ниже документально подтвержденного объема по заявкам на 2018;
расчет средних данных – вкладка "Факт за 3 года"</t>
        </r>
      </text>
    </comment>
    <comment ref="P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1 и 2 кв. 2016 не было разделения на КС и приравн КС 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04"/>
          </rPr>
          <t>будут опубликованы в начале октября 2017 года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утвержденная стоимость льготного ТП, не превышающая 550 руб.</t>
        </r>
      </text>
    </comment>
  </commentList>
</comments>
</file>

<file path=xl/comments2.xml><?xml version="1.0" encoding="utf-8"?>
<comments xmlns="http://schemas.openxmlformats.org/spreadsheetml/2006/main">
  <authors>
    <author>Нагих Алина Сергеевна</author>
    <author>Овчинникова Алина Сергеевна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04"/>
          </rPr>
          <t>прогнозная величина платы за ТП, определенная на основе фактических данных о заявителях, обратившихся за рассрочкой за последний год, но не ниже документально подтвержденных данных о заявителях, обратившихся за рассрочкой на следующий период регулирования</t>
        </r>
      </text>
    </comment>
    <comment ref="I15" authorId="1">
      <text>
        <r>
          <rPr>
            <sz val="9"/>
            <color indexed="81"/>
            <rFont val="Tahoma"/>
            <family val="2"/>
            <charset val="204"/>
          </rPr>
          <t xml:space="preserve">значение ставки рефинансирования ЦБ РФ от 15.09.17 (8,5 %) + 2 п.п.
</t>
        </r>
      </text>
    </comment>
  </commentList>
</comments>
</file>

<file path=xl/comments3.xml><?xml version="1.0" encoding="utf-8"?>
<comments xmlns="http://schemas.openxmlformats.org/spreadsheetml/2006/main">
  <authors>
    <author>Овчинникова Алина Сергеевна</author>
    <author>Нагих Алина Сергеевна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утвержденная агентством по конкретному меропрятию для данной ТСО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утвержденные агентством на момент принятия постановления по выпадающим
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на основании фактических средних данных за 3 предыдущих года (при отуствии – за 2, года или за 1 год), но не ниже документально подтвержденного объема по заявкам на 2018;
расчет средних данных – вкладка "Факт за 3 года"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в 1 и 2 кв. 2016 не было разделения на КС и приравн КС</t>
        </r>
      </text>
    </comment>
    <comment ref="M32" authorId="1">
      <text>
        <r>
          <rPr>
            <b/>
            <sz val="9"/>
            <color indexed="81"/>
            <rFont val="Tahoma"/>
            <family val="2"/>
            <charset val="204"/>
          </rPr>
          <t>индексы ожидаются в октябре</t>
        </r>
      </text>
    </comment>
    <comment ref="P57" authorId="0">
      <text>
        <r>
          <rPr>
            <b/>
            <sz val="9"/>
            <color indexed="81"/>
            <rFont val="Tahoma"/>
            <family val="2"/>
            <charset val="204"/>
          </rPr>
          <t>в 1 и 2 кв. 2016 не было разделения на КС и приравн КС</t>
        </r>
      </text>
    </comment>
  </commentList>
</comments>
</file>

<file path=xl/comments4.xml><?xml version="1.0" encoding="utf-8"?>
<comments xmlns="http://schemas.openxmlformats.org/spreadsheetml/2006/main">
  <authors>
    <author>Овчинникова Алина Сергеевна</author>
    <author>Нагих Алина Сергеевна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– для пунктов 1, 2.3 – 2.5, 2.3.КС – 2.5.КС;
длина – для пунктов 2.1–2.2 и 2.1.КС–2.2.КС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Присоединенная мощность указывается для пунктов 1, 2.1-2.3 и 2.1.КС-2.3.КС;
номинальная – для пунктов 2.4 и 2.4.КС</t>
        </r>
      </text>
    </comment>
    <comment ref="D2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принимаются значения из вкладки "Факт ПС за 3 года" согласно перечню ставок, установленных на 2014-2016 гг
</t>
        </r>
      </text>
    </comment>
  </commentList>
</comments>
</file>

<file path=xl/comments5.xml><?xml version="1.0" encoding="utf-8"?>
<comments xmlns="http://schemas.openxmlformats.org/spreadsheetml/2006/main">
  <authors>
    <author>Овчинникова Алина Сергеевна</author>
  </authors>
  <commentList>
    <comment ref="B4" authorId="0">
      <text>
        <r>
          <rPr>
            <sz val="9"/>
            <color indexed="81"/>
            <rFont val="Tahoma"/>
            <family val="2"/>
            <charset val="204"/>
          </rPr>
          <t>в случае наличия видов строительства, не предусмотренных данной таблицей, добавьте требуемые строки дополнительно, в т.ч. в таблице с расчетом выпадающих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по новым МУ: для точек присоединения на уровне напряжения менее 6 кВ – 0,94</t>
        </r>
      </text>
    </comment>
  </commentList>
</comments>
</file>

<file path=xl/comments6.xml><?xml version="1.0" encoding="utf-8"?>
<comments xmlns="http://schemas.openxmlformats.org/spreadsheetml/2006/main">
  <authors>
    <author>Нагих Алина Сергеевна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при добавлении новых строк необходимо копировать форматирование ячейки со списком; в случае необходимости – дополнить список новым видом ТП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это всего лишь пример</t>
        </r>
      </text>
    </comment>
  </commentList>
</comments>
</file>

<file path=xl/comments7.xml><?xml version="1.0" encoding="utf-8"?>
<comments xmlns="http://schemas.openxmlformats.org/spreadsheetml/2006/main">
  <authors>
    <author>Нагих Алина Сергеевна</author>
  </authors>
  <commentList>
    <comment ref="L6" authorId="0">
      <text>
        <r>
          <rPr>
            <b/>
            <sz val="9"/>
            <color indexed="81"/>
            <rFont val="Tahoma"/>
            <charset val="1"/>
          </rPr>
          <t>сведения о фактической стоимости нового строительства в целях технологического присоединения должны быть согласованы с перечнем объектов, представляемым в рамках расчета единых стандартизированных ставок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это всего лишь пример</t>
        </r>
      </text>
    </comment>
  </commentList>
</comments>
</file>

<file path=xl/sharedStrings.xml><?xml version="1.0" encoding="utf-8"?>
<sst xmlns="http://schemas.openxmlformats.org/spreadsheetml/2006/main" count="686" uniqueCount="237">
  <si>
    <t xml:space="preserve">*
</t>
  </si>
  <si>
    <t>№
п/п</t>
  </si>
  <si>
    <t>Наименование мероприятий</t>
  </si>
  <si>
    <t>1.</t>
  </si>
  <si>
    <t>2.</t>
  </si>
  <si>
    <t>исп.</t>
  </si>
  <si>
    <t>Ф.И.О., должность</t>
  </si>
  <si>
    <t>тел., e-mail</t>
  </si>
  <si>
    <t>не включаемых состав  платы за технологическое присоединение</t>
  </si>
  <si>
    <t>ставка платы</t>
  </si>
  <si>
    <t>(руб/кВт, руб./км)</t>
  </si>
  <si>
    <t>мощность, длина линии</t>
  </si>
  <si>
    <t>(кВт, км)</t>
  </si>
  <si>
    <t>(тыс.руб.)</t>
  </si>
  <si>
    <t>Приложение № 1</t>
  </si>
  <si>
    <t>стандарт, тариф, ставка</t>
  </si>
  <si>
    <t xml:space="preserve">сумма </t>
  </si>
  <si>
    <t>сумма (в соответствии с актами выполненных работ)</t>
  </si>
  <si>
    <t>3.</t>
  </si>
  <si>
    <t>4.</t>
  </si>
  <si>
    <t>Расходы на выполнение организационно-технических мероприятий, связанные с осуществлением технологического присоединения</t>
  </si>
  <si>
    <t>1.1.</t>
  </si>
  <si>
    <t>1.2.</t>
  </si>
  <si>
    <t>1.3.</t>
  </si>
  <si>
    <t>1.4.</t>
  </si>
  <si>
    <t>Расходы по мероприятиям "последней мили", связанные с осуществлением технологического присоединения</t>
  </si>
  <si>
    <t>2.1.</t>
  </si>
  <si>
    <t>строительство воздушных линий</t>
  </si>
  <si>
    <t>2.2.</t>
  </si>
  <si>
    <t>строительство кабельных линий</t>
  </si>
  <si>
    <t>2.3.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</si>
  <si>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</si>
  <si>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</si>
  <si>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2.5.</t>
  </si>
  <si>
    <t>строительство центров питания, подстанций уровнем напряжения 35 кВ и выше (ПС)</t>
  </si>
  <si>
    <t xml:space="preserve">Суммарный размер платы за технологическое присоединение </t>
  </si>
  <si>
    <t>3.1.</t>
  </si>
  <si>
    <t>Размер платы за технологическое присоединение (руб. без НДС)</t>
  </si>
  <si>
    <t>3.2.</t>
  </si>
  <si>
    <t xml:space="preserve"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п.18 Методических указаний по определению размера платы за технологическое присоединение, утвержденных приказом ФСТ России от 11 сентября 2012 г. № 209-э/1) (шт.) 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</si>
  <si>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</t>
  </si>
  <si>
    <r>
      <t>Фактические данные за предыдущий период регулирования (</t>
    </r>
    <r>
      <rPr>
        <b/>
        <sz val="9"/>
        <color theme="1"/>
        <rFont val="Arial"/>
        <family val="2"/>
        <charset val="204"/>
      </rPr>
      <t>2016 год</t>
    </r>
    <r>
      <rPr>
        <sz val="9"/>
        <color theme="1"/>
        <rFont val="Arial"/>
        <family val="2"/>
        <charset val="204"/>
      </rPr>
      <t>)</t>
    </r>
  </si>
  <si>
    <r>
      <t>Расчетные (фактические) данные за предыдущий период регулирования (</t>
    </r>
    <r>
      <rPr>
        <b/>
        <sz val="9"/>
        <color theme="1"/>
        <rFont val="Arial"/>
        <family val="2"/>
        <charset val="204"/>
      </rPr>
      <t>2016 год</t>
    </r>
    <r>
      <rPr>
        <sz val="9"/>
        <color theme="1"/>
        <rFont val="Arial"/>
        <family val="2"/>
        <charset val="204"/>
      </rPr>
      <t>)</t>
    </r>
  </si>
  <si>
    <r>
      <t>Плановые показатели на следующий период регулирования (</t>
    </r>
    <r>
      <rPr>
        <b/>
        <sz val="9"/>
        <color theme="1"/>
        <rFont val="Arial"/>
        <family val="2"/>
        <charset val="204"/>
      </rPr>
      <t>2018 год</t>
    </r>
    <r>
      <rPr>
        <sz val="9"/>
        <color theme="1"/>
        <rFont val="Arial"/>
        <family val="2"/>
        <charset val="204"/>
      </rPr>
      <t>)</t>
    </r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</si>
  <si>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</si>
  <si>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</t>
  </si>
  <si>
    <t>участие в осмотре должностным лицом органа федерального государственного энергетического надзора при участии сетевой организации и собственника присоединяемых Устройств Заявителя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</si>
  <si>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«включено»)</t>
  </si>
  <si>
    <t>ВЛ-0,4 кВ</t>
  </si>
  <si>
    <t>ВЛ-10(6) кВ</t>
  </si>
  <si>
    <t>КЛ-0,4 кВ</t>
  </si>
  <si>
    <t>КЛ-10(6) кВ</t>
  </si>
  <si>
    <t xml:space="preserve">Расчет размера расходов, связанных с осуществлением технологического присоединения энергопринимающих устройств  максимальной мощностью, не превышающей 15 кВт включительно, </t>
  </si>
  <si>
    <t>районы, приравненные к районам КС:</t>
  </si>
  <si>
    <t>строительство пунктов секционирования</t>
  </si>
  <si>
    <t>КТП- 100 кВА</t>
  </si>
  <si>
    <t xml:space="preserve">КТП- 160 кВА </t>
  </si>
  <si>
    <t>КТП- 250 кВА</t>
  </si>
  <si>
    <t>КТП- 63 кВА и меньше</t>
  </si>
  <si>
    <t>КТП-400 кВА и больше</t>
  </si>
  <si>
    <t>районы КС:</t>
  </si>
  <si>
    <t>2.1.КС</t>
  </si>
  <si>
    <t>2.2.КС</t>
  </si>
  <si>
    <t>2.3.КС</t>
  </si>
  <si>
    <t>2.4.КС</t>
  </si>
  <si>
    <t>2.5.КС</t>
  </si>
  <si>
    <t>КТП- 63 кВА</t>
  </si>
  <si>
    <t>КТП- 10 кВА</t>
  </si>
  <si>
    <t>КТП- 25 кВА</t>
  </si>
  <si>
    <t>КТП- 40 кВА</t>
  </si>
  <si>
    <t>КТП- 400 кВА</t>
  </si>
  <si>
    <t>КТП- 630 кВА</t>
  </si>
  <si>
    <t>КТП-1000 кВА</t>
  </si>
  <si>
    <t>БКТП- 160 кВА</t>
  </si>
  <si>
    <t>БКТП- 2х160 кВА</t>
  </si>
  <si>
    <t>БКТП-160 кВА</t>
  </si>
  <si>
    <t>БКТП-2х160 кВА</t>
  </si>
  <si>
    <t>мощность</t>
  </si>
  <si>
    <t>кВт</t>
  </si>
  <si>
    <t>кВА</t>
  </si>
  <si>
    <t>количество</t>
  </si>
  <si>
    <t>шт.</t>
  </si>
  <si>
    <t>максимальная мощность до 15 кВт ("льготное" ТП)</t>
  </si>
  <si>
    <t>Вид строительства</t>
  </si>
  <si>
    <t>Инд</t>
  </si>
  <si>
    <t>ВЛ</t>
  </si>
  <si>
    <t>КЛ</t>
  </si>
  <si>
    <t>Прочие</t>
  </si>
  <si>
    <t>Кнр</t>
  </si>
  <si>
    <t>Кнр(КС)</t>
  </si>
  <si>
    <t>Инд(КС)</t>
  </si>
  <si>
    <t>ср. по 2016</t>
  </si>
  <si>
    <r>
      <rPr>
        <sz val="9"/>
        <color rgb="FFFF0000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кв.2017</t>
    </r>
  </si>
  <si>
    <t>БКТП-2х250 кВА</t>
  </si>
  <si>
    <t>БКТП-2х400 кВА</t>
  </si>
  <si>
    <t>БКТП-2х630 кВА</t>
  </si>
  <si>
    <t>БКТП-2х1000 кВА</t>
  </si>
  <si>
    <t>максимальная мощность до 150 кВт (исключая "льготное" ТП до 15 кВт)</t>
  </si>
  <si>
    <t>Информация о фактических данных о присоединённых объёмах максимальной мощности, длине линий, объёмах максимальной мощности построенных объектов</t>
  </si>
  <si>
    <t>2014 год</t>
  </si>
  <si>
    <t>2015 год</t>
  </si>
  <si>
    <t>2016 год</t>
  </si>
  <si>
    <t>Наименование мероприятия</t>
  </si>
  <si>
    <t>Строительство объектов "последней мили"</t>
  </si>
  <si>
    <t>Присоединенная (номинальная) максимальная мощность, кВт</t>
  </si>
  <si>
    <t>льготное ТП до 15 кВт (3 кат.)</t>
  </si>
  <si>
    <t>Среднее за 3 года</t>
  </si>
  <si>
    <t>Организационные мероприятия</t>
  </si>
  <si>
    <t>Всего договоров об осуществлении ТП</t>
  </si>
  <si>
    <t>Количество, шт. / Длина, км</t>
  </si>
  <si>
    <t>№</t>
  </si>
  <si>
    <t>льготное ТП до 150 кВт (включительно), кроме льготного ТП до 15 кВт</t>
  </si>
  <si>
    <t>Расчет размера расходов, связанных с осуществлением технологического присоединения энергопринимающих устройств  максимальной мощностью до 150 кВт включительно,</t>
  </si>
  <si>
    <t>1.5.</t>
  </si>
  <si>
    <t>1.1.КС</t>
  </si>
  <si>
    <t>1.2.КС</t>
  </si>
  <si>
    <t>1.3.КС</t>
  </si>
  <si>
    <t>1.4.КС</t>
  </si>
  <si>
    <t>1.5.КС</t>
  </si>
  <si>
    <t>до 63 включительно</t>
  </si>
  <si>
    <t>от 400 включительно</t>
  </si>
  <si>
    <t>Расчет размера расходов, связанных с предоставлением беспроцентной рассрочкой платежей по оплате технологического присоединения энергопринимающих устройств максимальной мощностью свыше 15 и до 150 кВт</t>
  </si>
  <si>
    <t xml:space="preserve">№ п/п </t>
  </si>
  <si>
    <t>Фактически заключенные договора 
(дата и номер)</t>
  </si>
  <si>
    <t>Сумма по договору/
суммарный размер платы за ТП</t>
  </si>
  <si>
    <t>1 квартал</t>
  </si>
  <si>
    <t>2 квартал</t>
  </si>
  <si>
    <t>3 квартал</t>
  </si>
  <si>
    <t>4 квартал</t>
  </si>
  <si>
    <t>ВСЕГО</t>
  </si>
  <si>
    <t>тыс.руб.</t>
  </si>
  <si>
    <t>Суммарный размер платы за технологическое присоединение, тыс.руб., в т.ч.:</t>
  </si>
  <si>
    <t>Суммарный размер платы за технологическое присоединение, подлежащий беспроцентной рассрочке</t>
  </si>
  <si>
    <t xml:space="preserve">№ п/п    </t>
  </si>
  <si>
    <t>Квартал, на который рассчитывается размер расходов, связанных с предоставлением беспроцентной рассрочки</t>
  </si>
  <si>
    <t>Расходы, связанные с предоставлением беспроцентной рассрочки, тыс. руб.</t>
  </si>
  <si>
    <t xml:space="preserve">в отношении суммарного размера платы за технологическое присоединение в 1 квартале </t>
  </si>
  <si>
    <t xml:space="preserve">в отношении суммарного размера платы за технологическое присоединение в 3 квартале </t>
  </si>
  <si>
    <t xml:space="preserve">в отношении суммарного размера платы за технологическое присоединение в 4 квартале </t>
  </si>
  <si>
    <t>всего в год</t>
  </si>
  <si>
    <t>5 квартал</t>
  </si>
  <si>
    <t>6 квартал</t>
  </si>
  <si>
    <t>7 квартал</t>
  </si>
  <si>
    <t>8 квартал</t>
  </si>
  <si>
    <t>9 квартал</t>
  </si>
  <si>
    <t>10 квартал</t>
  </si>
  <si>
    <t>3.3.</t>
  </si>
  <si>
    <t>11 квартал</t>
  </si>
  <si>
    <t>3.4.</t>
  </si>
  <si>
    <t>12 квартал</t>
  </si>
  <si>
    <t>4.1.</t>
  </si>
  <si>
    <t>13 квартал</t>
  </si>
  <si>
    <t>4.2.</t>
  </si>
  <si>
    <t>14 квартал</t>
  </si>
  <si>
    <t>4.3.</t>
  </si>
  <si>
    <t>15 квартал</t>
  </si>
  <si>
    <t>4.4.</t>
  </si>
  <si>
    <t>16 квартал</t>
  </si>
  <si>
    <t>5.</t>
  </si>
  <si>
    <t>ИТОГО</t>
  </si>
  <si>
    <t>Фактические данные за 2016 год</t>
  </si>
  <si>
    <t>Ожидаемые данные за 2017 год</t>
  </si>
  <si>
    <t>Заявитель</t>
  </si>
  <si>
    <t>№ и дата договора</t>
  </si>
  <si>
    <t>Плановые показатели на 2018 год</t>
  </si>
  <si>
    <t>1 кв.</t>
  </si>
  <si>
    <t>2 кв.</t>
  </si>
  <si>
    <t>3 кв.</t>
  </si>
  <si>
    <t>4 кв.</t>
  </si>
  <si>
    <t>...</t>
  </si>
  <si>
    <t>Примечание: Ставка рефинансирования ЦБ РФ от 15.09.2017 составляет 8,5 %, в соответствии с п.87  Основ ценообразования в области регулируемых цен (тарифов) в электроэнергетике, утв. Постановлением Правительства от 29.12.2011 №1178, ставка рефинансирования увеличена на 2 процентных пункта и принята для расчёта в размере 10,5 %</t>
  </si>
  <si>
    <t>№ п/п</t>
  </si>
  <si>
    <t>Договор ТП</t>
  </si>
  <si>
    <t>Наименование заявителя</t>
  </si>
  <si>
    <t>Новая/дополнительная присоединяемая мощность, кВт</t>
  </si>
  <si>
    <t>Затраты, относимые на себестоимость (согласно регистру бух.отчетности), руб.</t>
  </si>
  <si>
    <t>Номер и дата акта ТП</t>
  </si>
  <si>
    <t>Дата (дд.мм.гг.)</t>
  </si>
  <si>
    <t>максимальная</t>
  </si>
  <si>
    <t>вновь присоединяемая</t>
  </si>
  <si>
    <t xml:space="preserve"> </t>
  </si>
  <si>
    <t>Итого 2014 год</t>
  </si>
  <si>
    <t>Итого 2015 год</t>
  </si>
  <si>
    <t>постоянная</t>
  </si>
  <si>
    <t>за 2014-2016 гг</t>
  </si>
  <si>
    <t>…</t>
  </si>
  <si>
    <t>Итого 2016 год</t>
  </si>
  <si>
    <t>Схема электро-снабжения (список)</t>
  </si>
  <si>
    <t>ТП</t>
  </si>
  <si>
    <t>пункты секционирования</t>
  </si>
  <si>
    <t>Всего, в т.ч.:</t>
  </si>
  <si>
    <t>мер-я, предусм.                   пп "а", "г", "д", "е" п. 16 МУ № 209-э/1</t>
  </si>
  <si>
    <t>Дата заключения (дд.мм.гг.)</t>
  </si>
  <si>
    <t>Наименование заявителя (ЮЛ) / ФИО (ФЛ)</t>
  </si>
  <si>
    <t>на 2018 год</t>
  </si>
  <si>
    <t>Итого по льготному ТП до 15 кВ, 3 кат.</t>
  </si>
  <si>
    <t>Итого по льготному ТП до 150 кВ (за исключением до 15 кВ, 3 кат.)</t>
  </si>
  <si>
    <t>Строительство объектов электросетевого хозяйства</t>
  </si>
  <si>
    <t>ВЛ, км</t>
  </si>
  <si>
    <t>0,4 кВ</t>
  </si>
  <si>
    <t>6-10 кВ</t>
  </si>
  <si>
    <t>КЛ, км</t>
  </si>
  <si>
    <t>вид</t>
  </si>
  <si>
    <t>пункты секционирования, шт.</t>
  </si>
  <si>
    <t>2018 (среднее значение за 3 года))</t>
  </si>
  <si>
    <t>1 год (2016 г.):</t>
  </si>
  <si>
    <t>2 год (2017 г.):</t>
  </si>
  <si>
    <t>3 год (2018 г.):</t>
  </si>
  <si>
    <t>4 год (2019 г.):</t>
  </si>
  <si>
    <t xml:space="preserve">в отношении суммарного размера платы за технологическое присоединение во 2 квартале </t>
  </si>
  <si>
    <t>Наименование и местоположение присоединяемого объекта</t>
  </si>
  <si>
    <t>Примечание                         (срок осуществления ТП по договору)</t>
  </si>
  <si>
    <t>Присоединяемая мощность, кВт</t>
  </si>
  <si>
    <t>Укрупненный перечень объектов строительства</t>
  </si>
  <si>
    <t>Реестр исполненных договоров об осуществлении льготного технологического присоединения к электрическим сетям</t>
  </si>
  <si>
    <t xml:space="preserve">Реестр действующих договоров об осуществлении льготного технологического присоединения к электрическим сетям </t>
  </si>
  <si>
    <t>Категория энергопринимающих устройств (список)</t>
  </si>
  <si>
    <t>ООО "Метэк"</t>
  </si>
  <si>
    <t>Семенюк А.В., директор</t>
  </si>
  <si>
    <t>42-00-49, metec@mail.ru</t>
  </si>
  <si>
    <t>01-ТП/2016</t>
  </si>
  <si>
    <t>Чижов Василий Юрьевич</t>
  </si>
  <si>
    <t>Хоз.постройка, д. Пустошь, д. 47</t>
  </si>
  <si>
    <t>01-ТП 23.03.2016</t>
  </si>
  <si>
    <t>05-ТП/2016</t>
  </si>
  <si>
    <t>ГБУ АО "АГСББЖ"</t>
  </si>
  <si>
    <t>Здание главного корпуса, г. Архангельск, Кузнечихинский проезд (четвертый проезд), д. 7, корп. 1</t>
  </si>
  <si>
    <t>10-ТП/2016</t>
  </si>
  <si>
    <t>Дурягина Лия Олеговна</t>
  </si>
  <si>
    <t>Жилой дом, д. Повракульская, ул. Береговая, д. 1</t>
  </si>
  <si>
    <t>05-ТП 30.06.2016</t>
  </si>
  <si>
    <t>10-ТП 27.12.2016</t>
  </si>
  <si>
    <t>09-ТП/2016</t>
  </si>
  <si>
    <t>Романяк Николай Иванович</t>
  </si>
  <si>
    <t>Жилой дом, д. Повракульская, ул. Береговая, д. 7</t>
  </si>
  <si>
    <t>09-ТП 26.12.2016</t>
  </si>
  <si>
    <t>по сметам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</si>
</sst>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0.0_)"/>
    <numFmt numFmtId="165" formatCode="&quot;error&quot;;&quot;error&quot;;&quot;OK&quot;;&quot;  &quot;@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#,##0_);\(#,##0\);&quot;- &quot;;&quot;  &quot;@"/>
    <numFmt numFmtId="170" formatCode="General_)"/>
    <numFmt numFmtId="171" formatCode="_([$€-2]* #,##0.00_);_([$€-2]* \(#,##0.00\);_([$€-2]* &quot;-&quot;??_)"/>
    <numFmt numFmtId="172" formatCode="#,##0.0000_);\(#,##0.0000\);&quot;- &quot;;&quot;  &quot;@"/>
    <numFmt numFmtId="173" formatCode="_-* #,##0\ _d_._-;\-* #,##0\ _d_._-;_-* &quot;-&quot;\ _d_._-;_-@_-"/>
    <numFmt numFmtId="174" formatCode="_-* #,##0.00\ _d_._-;\-* #,##0.00\ _d_._-;_-* &quot;-&quot;??\ _d_._-;_-@_-"/>
    <numFmt numFmtId="175" formatCode="&quot;$&quot;#,##0_);[Red]\(&quot;$&quot;#,##0\)"/>
    <numFmt numFmtId="176" formatCode="&quot;$&quot;#,##0.00_);[Red]\(&quot;$&quot;#,##0.00\)"/>
    <numFmt numFmtId="177" formatCode=";;&quot;zero&quot;;&quot;  &quot;@"/>
    <numFmt numFmtId="178" formatCode="_-* #,##0.00&quot;р.&quot;_-;\-* #,##0.00&quot;р.&quot;_-;_-* &quot;-&quot;??&quot;р.&quot;_-;_-@_-"/>
    <numFmt numFmtId="179" formatCode="#,##0_);[Red]\(#,##0\)"/>
    <numFmt numFmtId="180" formatCode="_-* #,##0.00\ _р_._-;\-* #,##0.00\ _р_._-;_-* &quot;-&quot;??\ _р_._-;_-@_-"/>
    <numFmt numFmtId="181" formatCode="_-* #,##0.00_р_._-;\-* #,##0.00_р_._-;_-* &quot;-&quot;??_р_._-;_-@_-"/>
    <numFmt numFmtId="182" formatCode="#,##0.000"/>
    <numFmt numFmtId="183" formatCode="#,##0.0"/>
    <numFmt numFmtId="184" formatCode="0.0000"/>
    <numFmt numFmtId="185" formatCode="\$#,##0\ ;\(\$#,##0\)"/>
    <numFmt numFmtId="186" formatCode="_ * #,##0_ ;_ * \-#,##0_ ;_ * &quot;-&quot;_ ;_ @_ "/>
    <numFmt numFmtId="187" formatCode="_ * #,##0.00_ ;_ * \-#,##0.00_ ;_ * &quot;-&quot;??_ ;_ @_ "/>
    <numFmt numFmtId="188" formatCode="&quot;$&quot;#,##0"/>
    <numFmt numFmtId="189" formatCode="0.0"/>
    <numFmt numFmtId="190" formatCode="_-* #,##0.00_р_._-;\-* #,##0.00_р_._-;_-* \-??_р_._-;_-@_-"/>
    <numFmt numFmtId="191" formatCode="dd/mm/yy;@"/>
    <numFmt numFmtId="192" formatCode="[$-F800]dddd\,\ mmmm\ dd\,\ yyyy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Courier"/>
      <family val="3"/>
    </font>
    <font>
      <b/>
      <sz val="18"/>
      <color indexed="56"/>
      <name val="Cambria"/>
      <family val="2"/>
      <charset val="204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 Cyr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name val="SvobodaFWF"/>
    </font>
    <font>
      <b/>
      <sz val="12"/>
      <name val="NTHelvetica/Cyrillic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 Cyr"/>
      <family val="2"/>
      <charset val="204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 CYR"/>
      <family val="2"/>
      <charset val="204"/>
    </font>
    <font>
      <sz val="19"/>
      <color indexed="48"/>
      <name val="Arial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NTHelvetica/Cyrillic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1"/>
      <name val="Tahoma"/>
      <charset val="1"/>
    </font>
  </fonts>
  <fills count="7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lightGray">
        <fgColor indexed="8"/>
        <bgColor indexed="11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961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0" fillId="0" borderId="0">
      <alignment horizontal="left"/>
    </xf>
    <xf numFmtId="0" fontId="11" fillId="4" borderId="0" applyNumberFormat="0" applyBorder="0" applyAlignment="0" applyProtection="0"/>
    <xf numFmtId="0" fontId="12" fillId="21" borderId="2" applyNumberFormat="0" applyAlignment="0" applyProtection="0"/>
    <xf numFmtId="165" fontId="13" fillId="0" borderId="0" applyFont="0" applyFill="0" applyBorder="0" applyAlignment="0" applyProtection="0"/>
    <xf numFmtId="0" fontId="14" fillId="22" borderId="3" applyNumberFormat="0" applyAlignment="0" applyProtection="0"/>
    <xf numFmtId="166" fontId="15" fillId="0" borderId="0" applyFont="0" applyFill="0" applyBorder="0" applyAlignment="0" applyProtection="0"/>
    <xf numFmtId="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8" fillId="23" borderId="0" applyNumberFormat="0" applyBorder="0" applyAlignment="0" applyProtection="0"/>
    <xf numFmtId="170" fontId="19" fillId="0" borderId="0">
      <alignment horizontal="center"/>
    </xf>
    <xf numFmtId="38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169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38" fontId="24" fillId="24" borderId="0" applyNumberFormat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0" fillId="8" borderId="2" applyNumberFormat="0" applyAlignment="0" applyProtection="0"/>
    <xf numFmtId="10" fontId="24" fillId="25" borderId="1" applyNumberFormat="0" applyBorder="0" applyAlignment="0" applyProtection="0"/>
    <xf numFmtId="0" fontId="31" fillId="0" borderId="9" applyNumberFormat="0" applyFill="0" applyAlignment="0" applyProtection="0"/>
    <xf numFmtId="0" fontId="32" fillId="26" borderId="0" applyNumberFormat="0" applyBorder="0" applyAlignment="0" applyProtection="0"/>
    <xf numFmtId="0" fontId="7" fillId="0" borderId="10"/>
    <xf numFmtId="0" fontId="16" fillId="0" borderId="0"/>
    <xf numFmtId="0" fontId="16" fillId="0" borderId="0"/>
    <xf numFmtId="0" fontId="33" fillId="0" borderId="0"/>
    <xf numFmtId="0" fontId="34" fillId="0" borderId="0"/>
    <xf numFmtId="0" fontId="4" fillId="0" borderId="0"/>
    <xf numFmtId="0" fontId="2" fillId="27" borderId="11" applyNumberFormat="0" applyFont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6" fillId="21" borderId="12" applyNumberFormat="0" applyAlignment="0" applyProtection="0"/>
    <xf numFmtId="10" fontId="16" fillId="0" borderId="0" applyFont="0" applyFill="0" applyBorder="0" applyAlignment="0" applyProtection="0"/>
    <xf numFmtId="0" fontId="37" fillId="0" borderId="0">
      <alignment horizontal="right" vertical="top"/>
    </xf>
    <xf numFmtId="0" fontId="38" fillId="0" borderId="0"/>
    <xf numFmtId="0" fontId="39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3" fillId="11" borderId="0" applyNumberFormat="0" applyBorder="0" applyAlignment="0" applyProtection="0"/>
    <xf numFmtId="177" fontId="13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0" fontId="6" fillId="0" borderId="14">
      <protection locked="0"/>
    </xf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3" fillId="0" borderId="15" applyBorder="0">
      <alignment horizontal="center" vertical="center" wrapText="1"/>
    </xf>
    <xf numFmtId="170" fontId="44" fillId="28" borderId="14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6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7" fillId="0" borderId="0" applyNumberFormat="0" applyFont="0" applyBorder="0" applyAlignment="0">
      <alignment horizont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46" fillId="0" borderId="0">
      <alignment vertical="top"/>
    </xf>
    <xf numFmtId="0" fontId="4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178" fontId="57" fillId="0" borderId="0">
      <protection locked="0"/>
    </xf>
    <xf numFmtId="178" fontId="57" fillId="0" borderId="0">
      <protection locked="0"/>
    </xf>
    <xf numFmtId="178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35">
      <protection locked="0"/>
    </xf>
    <xf numFmtId="0" fontId="7" fillId="2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" fillId="37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8" fillId="38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8" fillId="39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8" fillId="40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8" fillId="41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8" fillId="42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8" fillId="43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8" fillId="44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8" fillId="45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8" fillId="40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8" fillId="43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8" fillId="46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9" fillId="4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9" fillId="4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9" fillId="45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9" fillId="48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9" fillId="49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9" fillId="50" borderId="0" applyNumberFormat="0" applyBorder="0" applyAlignment="0" applyProtection="0"/>
    <xf numFmtId="40" fontId="7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0" fontId="62" fillId="0" borderId="36" applyNumberFormat="0" applyBorder="0">
      <alignment horizontal="centerContinuous"/>
    </xf>
    <xf numFmtId="0" fontId="63" fillId="0" borderId="0">
      <alignment horizontal="center"/>
    </xf>
    <xf numFmtId="0" fontId="63" fillId="51" borderId="0">
      <alignment horizont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/>
    <xf numFmtId="0" fontId="67" fillId="53" borderId="0"/>
    <xf numFmtId="0" fontId="68" fillId="0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7" fillId="0" borderId="10"/>
    <xf numFmtId="0" fontId="69" fillId="0" borderId="0"/>
    <xf numFmtId="0" fontId="70" fillId="0" borderId="0" applyNumberFormat="0">
      <alignment horizontal="left"/>
    </xf>
    <xf numFmtId="4" fontId="71" fillId="26" borderId="37" applyNumberFormat="0" applyProtection="0">
      <alignment vertical="center"/>
    </xf>
    <xf numFmtId="4" fontId="72" fillId="54" borderId="37" applyNumberFormat="0" applyProtection="0">
      <alignment vertical="center"/>
    </xf>
    <xf numFmtId="4" fontId="71" fillId="54" borderId="37" applyNumberFormat="0" applyProtection="0">
      <alignment horizontal="left" vertical="center" indent="1"/>
    </xf>
    <xf numFmtId="0" fontId="71" fillId="54" borderId="37" applyNumberFormat="0" applyProtection="0">
      <alignment horizontal="left" vertical="top" indent="1"/>
    </xf>
    <xf numFmtId="4" fontId="73" fillId="55" borderId="0" applyNumberFormat="0" applyProtection="0">
      <alignment horizontal="left" vertical="center" indent="1"/>
    </xf>
    <xf numFmtId="4" fontId="74" fillId="4" borderId="37" applyNumberFormat="0" applyProtection="0">
      <alignment horizontal="right" vertical="center"/>
    </xf>
    <xf numFmtId="4" fontId="74" fillId="10" borderId="37" applyNumberFormat="0" applyProtection="0">
      <alignment horizontal="right" vertical="center"/>
    </xf>
    <xf numFmtId="4" fontId="74" fillId="18" borderId="37" applyNumberFormat="0" applyProtection="0">
      <alignment horizontal="right" vertical="center"/>
    </xf>
    <xf numFmtId="4" fontId="74" fillId="12" borderId="37" applyNumberFormat="0" applyProtection="0">
      <alignment horizontal="right" vertical="center"/>
    </xf>
    <xf numFmtId="4" fontId="74" fillId="16" borderId="37" applyNumberFormat="0" applyProtection="0">
      <alignment horizontal="right" vertical="center"/>
    </xf>
    <xf numFmtId="4" fontId="74" fillId="20" borderId="37" applyNumberFormat="0" applyProtection="0">
      <alignment horizontal="right" vertical="center"/>
    </xf>
    <xf numFmtId="4" fontId="74" fillId="19" borderId="37" applyNumberFormat="0" applyProtection="0">
      <alignment horizontal="right" vertical="center"/>
    </xf>
    <xf numFmtId="4" fontId="74" fillId="56" borderId="37" applyNumberFormat="0" applyProtection="0">
      <alignment horizontal="right" vertical="center"/>
    </xf>
    <xf numFmtId="4" fontId="74" fillId="11" borderId="37" applyNumberFormat="0" applyProtection="0">
      <alignment horizontal="right" vertical="center"/>
    </xf>
    <xf numFmtId="4" fontId="71" fillId="57" borderId="38" applyNumberFormat="0" applyProtection="0">
      <alignment horizontal="left" vertical="center" indent="1"/>
    </xf>
    <xf numFmtId="4" fontId="74" fillId="58" borderId="0" applyNumberFormat="0" applyProtection="0">
      <alignment horizontal="left" vertical="center" indent="1"/>
    </xf>
    <xf numFmtId="4" fontId="75" fillId="55" borderId="0" applyNumberFormat="0" applyProtection="0">
      <alignment horizontal="left" vertical="center" indent="1"/>
    </xf>
    <xf numFmtId="4" fontId="73" fillId="59" borderId="37" applyNumberFormat="0" applyProtection="0">
      <alignment horizontal="right" vertical="center"/>
    </xf>
    <xf numFmtId="4" fontId="76" fillId="58" borderId="0" applyNumberFormat="0" applyProtection="0">
      <alignment horizontal="left" vertical="center" indent="1"/>
    </xf>
    <xf numFmtId="4" fontId="76" fillId="60" borderId="0" applyNumberFormat="0" applyProtection="0">
      <alignment horizontal="left" vertical="center" indent="1"/>
    </xf>
    <xf numFmtId="0" fontId="16" fillId="55" borderId="37" applyNumberFormat="0" applyProtection="0">
      <alignment horizontal="left" vertical="center" indent="1"/>
    </xf>
    <xf numFmtId="0" fontId="16" fillId="55" borderId="37" applyNumberFormat="0" applyProtection="0">
      <alignment horizontal="left" vertical="top" indent="1"/>
    </xf>
    <xf numFmtId="0" fontId="16" fillId="60" borderId="37" applyNumberFormat="0" applyProtection="0">
      <alignment horizontal="left" vertical="center" indent="1"/>
    </xf>
    <xf numFmtId="0" fontId="16" fillId="60" borderId="37" applyNumberFormat="0" applyProtection="0">
      <alignment horizontal="left" vertical="top" indent="1"/>
    </xf>
    <xf numFmtId="0" fontId="16" fillId="59" borderId="37" applyNumberFormat="0" applyProtection="0">
      <alignment horizontal="left" vertical="center" indent="1"/>
    </xf>
    <xf numFmtId="0" fontId="16" fillId="59" borderId="37" applyNumberFormat="0" applyProtection="0">
      <alignment horizontal="left" vertical="top" indent="1"/>
    </xf>
    <xf numFmtId="0" fontId="16" fillId="61" borderId="37" applyNumberFormat="0" applyProtection="0">
      <alignment horizontal="left" vertical="center" indent="1"/>
    </xf>
    <xf numFmtId="0" fontId="16" fillId="61" borderId="37" applyNumberFormat="0" applyProtection="0">
      <alignment horizontal="left" vertical="top" indent="1"/>
    </xf>
    <xf numFmtId="4" fontId="74" fillId="25" borderId="37" applyNumberFormat="0" applyProtection="0">
      <alignment vertical="center"/>
    </xf>
    <xf numFmtId="4" fontId="77" fillId="25" borderId="37" applyNumberFormat="0" applyProtection="0">
      <alignment vertical="center"/>
    </xf>
    <xf numFmtId="4" fontId="74" fillId="25" borderId="37" applyNumberFormat="0" applyProtection="0">
      <alignment horizontal="left" vertical="center" indent="1"/>
    </xf>
    <xf numFmtId="0" fontId="74" fillId="25" borderId="37" applyNumberFormat="0" applyProtection="0">
      <alignment horizontal="left" vertical="top" indent="1"/>
    </xf>
    <xf numFmtId="4" fontId="73" fillId="61" borderId="37" applyNumberFormat="0" applyProtection="0">
      <alignment horizontal="right" vertical="center"/>
    </xf>
    <xf numFmtId="4" fontId="77" fillId="58" borderId="37" applyNumberFormat="0" applyProtection="0">
      <alignment horizontal="right" vertical="center"/>
    </xf>
    <xf numFmtId="4" fontId="78" fillId="59" borderId="37" applyNumberFormat="0" applyProtection="0">
      <alignment horizontal="left" vertical="center" indent="1"/>
    </xf>
    <xf numFmtId="0" fontId="74" fillId="60" borderId="37" applyNumberFormat="0" applyProtection="0">
      <alignment horizontal="left" vertical="top" indent="1"/>
    </xf>
    <xf numFmtId="4" fontId="79" fillId="62" borderId="0" applyNumberFormat="0" applyProtection="0">
      <alignment horizontal="left" vertical="center" indent="1"/>
    </xf>
    <xf numFmtId="4" fontId="40" fillId="58" borderId="37" applyNumberFormat="0" applyProtection="0">
      <alignment horizontal="right" vertical="center"/>
    </xf>
    <xf numFmtId="0" fontId="80" fillId="63" borderId="0"/>
    <xf numFmtId="49" fontId="81" fillId="63" borderId="0"/>
    <xf numFmtId="49" fontId="82" fillId="63" borderId="39"/>
    <xf numFmtId="49" fontId="82" fillId="63" borderId="0"/>
    <xf numFmtId="0" fontId="80" fillId="64" borderId="39">
      <protection locked="0"/>
    </xf>
    <xf numFmtId="0" fontId="80" fillId="63" borderId="0"/>
    <xf numFmtId="0" fontId="82" fillId="65" borderId="0"/>
    <xf numFmtId="0" fontId="82" fillId="66" borderId="0"/>
    <xf numFmtId="0" fontId="82" fillId="67" borderId="0"/>
    <xf numFmtId="188" fontId="83" fillId="0" borderId="1">
      <alignment horizontal="left" vertical="center"/>
      <protection locked="0"/>
    </xf>
    <xf numFmtId="0" fontId="61" fillId="0" borderId="40" applyNumberFormat="0" applyFont="0" applyFill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9" fillId="6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9" fillId="6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9" fillId="70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9" fillId="48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9" fillId="4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9" fillId="71" borderId="0" applyNumberFormat="0" applyBorder="0" applyAlignment="0" applyProtection="0"/>
    <xf numFmtId="0" fontId="84" fillId="8" borderId="2" applyNumberFormat="0" applyAlignment="0" applyProtection="0"/>
    <xf numFmtId="0" fontId="84" fillId="8" borderId="2" applyNumberFormat="0" applyAlignment="0" applyProtection="0"/>
    <xf numFmtId="0" fontId="84" fillId="8" borderId="2" applyNumberFormat="0" applyAlignment="0" applyProtection="0"/>
    <xf numFmtId="0" fontId="84" fillId="8" borderId="2" applyNumberFormat="0" applyAlignment="0" applyProtection="0"/>
    <xf numFmtId="0" fontId="30" fillId="42" borderId="2" applyNumberFormat="0" applyAlignment="0" applyProtection="0"/>
    <xf numFmtId="0" fontId="85" fillId="21" borderId="12" applyNumberFormat="0" applyAlignment="0" applyProtection="0"/>
    <xf numFmtId="0" fontId="85" fillId="21" borderId="12" applyNumberFormat="0" applyAlignment="0" applyProtection="0"/>
    <xf numFmtId="0" fontId="85" fillId="21" borderId="12" applyNumberFormat="0" applyAlignment="0" applyProtection="0"/>
    <xf numFmtId="0" fontId="85" fillId="21" borderId="12" applyNumberFormat="0" applyAlignment="0" applyProtection="0"/>
    <xf numFmtId="0" fontId="36" fillId="72" borderId="12" applyNumberFormat="0" applyAlignmen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12" fillId="72" borderId="2" applyNumberFormat="0" applyAlignment="0" applyProtection="0"/>
    <xf numFmtId="0" fontId="87" fillId="0" borderId="0" applyBorder="0">
      <alignment horizontal="center" vertical="center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89" fillId="0" borderId="7" applyNumberFormat="0" applyFill="0" applyAlignment="0" applyProtection="0"/>
    <xf numFmtId="0" fontId="89" fillId="0" borderId="7" applyNumberFormat="0" applyFill="0" applyAlignment="0" applyProtection="0"/>
    <xf numFmtId="0" fontId="89" fillId="0" borderId="7" applyNumberFormat="0" applyFill="0" applyAlignment="0" applyProtection="0"/>
    <xf numFmtId="0" fontId="90" fillId="0" borderId="8" applyNumberFormat="0" applyFill="0" applyAlignment="0" applyProtection="0"/>
    <xf numFmtId="0" fontId="90" fillId="0" borderId="8" applyNumberFormat="0" applyFill="0" applyAlignment="0" applyProtection="0"/>
    <xf numFmtId="0" fontId="90" fillId="0" borderId="8" applyNumberFormat="0" applyFill="0" applyAlignment="0" applyProtection="0"/>
    <xf numFmtId="0" fontId="90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" fontId="91" fillId="54" borderId="1" applyBorder="0">
      <alignment horizontal="right"/>
    </xf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3" fillId="22" borderId="3" applyNumberFormat="0" applyAlignment="0" applyProtection="0"/>
    <xf numFmtId="0" fontId="93" fillId="22" borderId="3" applyNumberFormat="0" applyAlignment="0" applyProtection="0"/>
    <xf numFmtId="0" fontId="93" fillId="22" borderId="3" applyNumberFormat="0" applyAlignment="0" applyProtection="0"/>
    <xf numFmtId="0" fontId="93" fillId="22" borderId="3" applyNumberFormat="0" applyAlignment="0" applyProtection="0"/>
    <xf numFmtId="0" fontId="14" fillId="73" borderId="3" applyNumberFormat="0" applyAlignment="0" applyProtection="0"/>
    <xf numFmtId="0" fontId="94" fillId="0" borderId="0">
      <alignment horizontal="center" vertical="top" wrapText="1"/>
    </xf>
    <xf numFmtId="0" fontId="95" fillId="0" borderId="0">
      <alignment horizontal="center" vertical="center" wrapText="1"/>
    </xf>
    <xf numFmtId="0" fontId="15" fillId="74" borderId="0" applyFill="0">
      <alignment wrapText="1"/>
    </xf>
    <xf numFmtId="0" fontId="15" fillId="74" borderId="0" applyFill="0">
      <alignment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32" fillId="75" borderId="0" applyNumberFormat="0" applyBorder="0" applyAlignment="0" applyProtection="0"/>
    <xf numFmtId="0" fontId="6" fillId="0" borderId="0"/>
    <xf numFmtId="0" fontId="6" fillId="0" borderId="0"/>
    <xf numFmtId="0" fontId="97" fillId="0" borderId="0"/>
    <xf numFmtId="0" fontId="6" fillId="0" borderId="0"/>
    <xf numFmtId="0" fontId="45" fillId="0" borderId="0"/>
    <xf numFmtId="0" fontId="6" fillId="0" borderId="0"/>
    <xf numFmtId="0" fontId="16" fillId="0" borderId="0"/>
    <xf numFmtId="0" fontId="6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/>
    <xf numFmtId="0" fontId="1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1" fillId="38" borderId="0" applyNumberFormat="0" applyBorder="0" applyAlignment="0" applyProtection="0"/>
    <xf numFmtId="189" fontId="99" fillId="54" borderId="41" applyNumberFormat="0" applyBorder="0" applyAlignment="0">
      <alignment vertical="center"/>
      <protection locked="0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" fillId="27" borderId="11" applyNumberFormat="0" applyFont="0" applyAlignment="0" applyProtection="0"/>
    <xf numFmtId="0" fontId="16" fillId="27" borderId="11" applyNumberFormat="0" applyFont="0" applyAlignment="0" applyProtection="0"/>
    <xf numFmtId="0" fontId="16" fillId="27" borderId="11" applyNumberFormat="0" applyFont="0" applyAlignment="0" applyProtection="0"/>
    <xf numFmtId="0" fontId="16" fillId="27" borderId="11" applyNumberFormat="0" applyFont="0" applyAlignment="0" applyProtection="0"/>
    <xf numFmtId="0" fontId="16" fillId="76" borderId="11" applyNumberFormat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6" fillId="0" borderId="0"/>
    <xf numFmtId="38" fontId="46" fillId="0" borderId="0">
      <alignment vertical="top"/>
    </xf>
    <xf numFmtId="188" fontId="6" fillId="0" borderId="0" applyFill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15" fillId="0" borderId="0">
      <alignment horizontal="center"/>
    </xf>
    <xf numFmtId="181" fontId="2" fillId="0" borderId="0" applyFont="0" applyFill="0" applyBorder="0" applyAlignment="0" applyProtection="0"/>
    <xf numFmtId="190" fontId="16" fillId="0" borderId="0" applyFill="0" applyBorder="0" applyAlignment="0" applyProtection="0"/>
    <xf numFmtId="181" fontId="1" fillId="0" borderId="0" applyFont="0" applyFill="0" applyBorder="0" applyAlignment="0" applyProtection="0"/>
    <xf numFmtId="4" fontId="91" fillId="74" borderId="0" applyFont="0" applyBorder="0">
      <alignment horizontal="right"/>
    </xf>
    <xf numFmtId="4" fontId="91" fillId="74" borderId="42" applyBorder="0">
      <alignment horizontal="right"/>
    </xf>
    <xf numFmtId="4" fontId="91" fillId="74" borderId="1" applyFont="0" applyBorder="0">
      <alignment horizontal="right"/>
    </xf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23" fillId="39" borderId="0" applyNumberFormat="0" applyBorder="0" applyAlignment="0" applyProtection="0"/>
    <xf numFmtId="178" fontId="57" fillId="0" borderId="0">
      <protection locked="0"/>
    </xf>
  </cellStyleXfs>
  <cellXfs count="285">
    <xf numFmtId="0" fontId="0" fillId="0" borderId="0" xfId="0"/>
    <xf numFmtId="0" fontId="48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top" wrapText="1"/>
    </xf>
    <xf numFmtId="0" fontId="48" fillId="29" borderId="17" xfId="0" applyFont="1" applyFill="1" applyBorder="1" applyAlignment="1">
      <alignment horizontal="center" vertical="center" wrapText="1"/>
    </xf>
    <xf numFmtId="0" fontId="48" fillId="29" borderId="18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182" fontId="48" fillId="31" borderId="10" xfId="0" applyNumberFormat="1" applyFont="1" applyFill="1" applyBorder="1" applyAlignment="1">
      <alignment horizontal="right" vertical="center" wrapText="1" indent="1"/>
    </xf>
    <xf numFmtId="182" fontId="48" fillId="30" borderId="21" xfId="0" applyNumberFormat="1" applyFont="1" applyFill="1" applyBorder="1" applyAlignment="1">
      <alignment horizontal="right" vertical="center" wrapText="1" indent="1"/>
    </xf>
    <xf numFmtId="0" fontId="48" fillId="29" borderId="22" xfId="0" applyFont="1" applyFill="1" applyBorder="1" applyAlignment="1">
      <alignment horizontal="left" vertical="center" indent="1"/>
    </xf>
    <xf numFmtId="0" fontId="51" fillId="29" borderId="17" xfId="0" applyFont="1" applyFill="1" applyBorder="1" applyAlignment="1">
      <alignment horizontal="left" vertical="center" indent="1"/>
    </xf>
    <xf numFmtId="3" fontId="48" fillId="31" borderId="10" xfId="0" applyNumberFormat="1" applyFont="1" applyFill="1" applyBorder="1" applyAlignment="1">
      <alignment horizontal="right" vertical="center" wrapText="1" indent="1"/>
    </xf>
    <xf numFmtId="4" fontId="48" fillId="30" borderId="21" xfId="0" applyNumberFormat="1" applyFont="1" applyFill="1" applyBorder="1" applyAlignment="1">
      <alignment horizontal="right" vertical="center" wrapText="1" indent="1"/>
    </xf>
    <xf numFmtId="0" fontId="48" fillId="0" borderId="0" xfId="0" applyFont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0" fontId="49" fillId="0" borderId="0" xfId="0" applyFont="1" applyAlignment="1" applyProtection="1">
      <alignment horizontal="right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9" xfId="0" applyFont="1" applyBorder="1" applyAlignment="1" applyProtection="1">
      <alignment horizontal="center" vertical="top" wrapText="1"/>
      <protection locked="0"/>
    </xf>
    <xf numFmtId="0" fontId="51" fillId="0" borderId="10" xfId="0" applyFont="1" applyBorder="1" applyAlignment="1" applyProtection="1">
      <alignment horizontal="center" vertical="center" wrapText="1"/>
      <protection locked="0"/>
    </xf>
    <xf numFmtId="0" fontId="51" fillId="0" borderId="23" xfId="0" applyFont="1" applyBorder="1" applyAlignment="1" applyProtection="1">
      <alignment vertical="center" wrapText="1"/>
      <protection locked="0"/>
    </xf>
    <xf numFmtId="182" fontId="48" fillId="30" borderId="24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1" borderId="10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20" xfId="0" applyFont="1" applyBorder="1" applyAlignment="1" applyProtection="1">
      <alignment vertical="center" wrapText="1"/>
      <protection locked="0"/>
    </xf>
    <xf numFmtId="182" fontId="48" fillId="3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20" xfId="0" applyFont="1" applyBorder="1" applyAlignment="1" applyProtection="1">
      <alignment vertical="center" wrapText="1"/>
      <protection locked="0"/>
    </xf>
    <xf numFmtId="0" fontId="51" fillId="0" borderId="17" xfId="0" applyFont="1" applyBorder="1" applyAlignment="1" applyProtection="1">
      <alignment vertical="center" wrapText="1"/>
      <protection locked="0"/>
    </xf>
    <xf numFmtId="0" fontId="51" fillId="0" borderId="18" xfId="0" applyFont="1" applyBorder="1" applyAlignment="1" applyProtection="1">
      <alignment vertical="center" wrapText="1"/>
      <protection locked="0"/>
    </xf>
    <xf numFmtId="182" fontId="48" fillId="32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0" xfId="0" applyFont="1" applyAlignment="1" applyProtection="1">
      <alignment horizontal="right"/>
      <protection locked="0"/>
    </xf>
    <xf numFmtId="0" fontId="48" fillId="0" borderId="1" xfId="0" applyFont="1" applyBorder="1" applyAlignment="1" applyProtection="1">
      <alignment horizontal="center" vertical="center"/>
      <protection locked="0"/>
    </xf>
    <xf numFmtId="0" fontId="48" fillId="33" borderId="1" xfId="0" applyFont="1" applyFill="1" applyBorder="1" applyAlignment="1" applyProtection="1">
      <alignment horizontal="center"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182" fontId="48" fillId="3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10" xfId="0" applyFont="1" applyBorder="1" applyAlignment="1" applyProtection="1">
      <alignment vertical="center" wrapText="1"/>
      <protection locked="0"/>
    </xf>
    <xf numFmtId="182" fontId="4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82" fontId="51" fillId="3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182" fontId="4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26" xfId="0" applyFont="1" applyBorder="1" applyAlignment="1" applyProtection="1">
      <alignment horizontal="center" vertical="top" wrapText="1"/>
      <protection locked="0"/>
    </xf>
    <xf numFmtId="0" fontId="48" fillId="0" borderId="27" xfId="0" applyFont="1" applyBorder="1" applyAlignment="1" applyProtection="1">
      <alignment horizontal="center" vertical="center" wrapText="1"/>
      <protection locked="0"/>
    </xf>
    <xf numFmtId="0" fontId="48" fillId="0" borderId="28" xfId="0" applyFont="1" applyBorder="1" applyAlignment="1" applyProtection="1">
      <alignment horizontal="center" vertical="top" wrapText="1"/>
      <protection locked="0"/>
    </xf>
    <xf numFmtId="182" fontId="48" fillId="30" borderId="27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1" borderId="27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25" xfId="0" applyFont="1" applyBorder="1" applyAlignment="1" applyProtection="1">
      <alignment vertical="center" wrapText="1"/>
      <protection locked="0"/>
    </xf>
    <xf numFmtId="182" fontId="48" fillId="34" borderId="18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2" borderId="18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82" fontId="51" fillId="3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31" xfId="0" applyFont="1" applyBorder="1" applyAlignment="1" applyProtection="1">
      <alignment horizontal="center" vertical="center" wrapText="1"/>
      <protection locked="0"/>
    </xf>
    <xf numFmtId="0" fontId="48" fillId="0" borderId="32" xfId="0" applyFont="1" applyBorder="1" applyAlignment="1" applyProtection="1">
      <alignment horizontal="center" vertical="top" wrapText="1"/>
      <protection locked="0"/>
    </xf>
    <xf numFmtId="4" fontId="48" fillId="30" borderId="31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0" borderId="33" xfId="0" applyNumberFormat="1" applyFont="1" applyFill="1" applyBorder="1" applyAlignment="1" applyProtection="1">
      <alignment horizontal="right" vertical="center" wrapText="1" indent="1"/>
      <protection locked="0"/>
    </xf>
    <xf numFmtId="4" fontId="48" fillId="31" borderId="31" xfId="0" applyNumberFormat="1" applyFont="1" applyFill="1" applyBorder="1" applyAlignment="1" applyProtection="1">
      <alignment horizontal="right" vertical="center" wrapText="1" indent="1"/>
      <protection locked="0"/>
    </xf>
    <xf numFmtId="4" fontId="4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" fontId="51" fillId="0" borderId="30" xfId="0" applyNumberFormat="1" applyFont="1" applyBorder="1" applyAlignment="1" applyProtection="1">
      <alignment vertical="center" wrapText="1"/>
      <protection locked="0"/>
    </xf>
    <xf numFmtId="182" fontId="51" fillId="30" borderId="29" xfId="0" applyNumberFormat="1" applyFont="1" applyFill="1" applyBorder="1" applyAlignment="1" applyProtection="1">
      <alignment horizontal="right" vertical="center" wrapText="1" indent="1"/>
      <protection locked="0"/>
    </xf>
    <xf numFmtId="4" fontId="48" fillId="32" borderId="31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1" borderId="18" xfId="0" applyNumberFormat="1" applyFont="1" applyFill="1" applyBorder="1" applyAlignment="1">
      <alignment horizontal="right" vertical="center" wrapText="1" indent="1"/>
    </xf>
    <xf numFmtId="182" fontId="48" fillId="35" borderId="27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5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4" fillId="0" borderId="1" xfId="0" applyFont="1" applyBorder="1" applyAlignment="1" applyProtection="1">
      <alignment horizontal="center" vertical="center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4" fontId="56" fillId="0" borderId="0" xfId="0" applyNumberFormat="1" applyFont="1" applyFill="1" applyBorder="1" applyAlignment="1" applyProtection="1">
      <alignment horizontal="center" vertical="center" wrapText="1"/>
    </xf>
    <xf numFmtId="4" fontId="55" fillId="0" borderId="0" xfId="0" applyNumberFormat="1" applyFont="1" applyFill="1" applyBorder="1" applyAlignment="1" applyProtection="1">
      <alignment horizontal="left" vertical="top"/>
    </xf>
    <xf numFmtId="4" fontId="55" fillId="0" borderId="0" xfId="0" applyNumberFormat="1" applyFont="1" applyFill="1" applyBorder="1" applyAlignment="1" applyProtection="1">
      <alignment horizontal="right" vertical="center" wrapText="1"/>
    </xf>
    <xf numFmtId="0" fontId="55" fillId="0" borderId="0" xfId="0" applyNumberFormat="1" applyFont="1" applyFill="1" applyBorder="1" applyAlignment="1" applyProtection="1">
      <alignment horizontal="right" vertical="center" wrapText="1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4" fontId="46" fillId="0" borderId="10" xfId="0" applyNumberFormat="1" applyFont="1" applyFill="1" applyBorder="1" applyAlignment="1" applyProtection="1">
      <alignment horizontal="center" vertical="center" wrapText="1"/>
    </xf>
    <xf numFmtId="3" fontId="55" fillId="31" borderId="10" xfId="0" applyNumberFormat="1" applyFont="1" applyFill="1" applyBorder="1" applyAlignment="1" applyProtection="1">
      <alignment horizontal="center" vertical="center" wrapText="1"/>
    </xf>
    <xf numFmtId="183" fontId="55" fillId="31" borderId="10" xfId="0" applyNumberFormat="1" applyFont="1" applyFill="1" applyBorder="1" applyAlignment="1" applyProtection="1">
      <alignment horizontal="center" vertical="center" wrapText="1"/>
    </xf>
    <xf numFmtId="4" fontId="46" fillId="0" borderId="20" xfId="0" applyNumberFormat="1" applyFont="1" applyFill="1" applyBorder="1" applyAlignment="1" applyProtection="1">
      <alignment horizontal="center" vertical="center" wrapText="1"/>
    </xf>
    <xf numFmtId="0" fontId="48" fillId="0" borderId="34" xfId="0" applyFont="1" applyBorder="1" applyAlignment="1" applyProtection="1">
      <alignment vertical="center" wrapText="1"/>
      <protection locked="0"/>
    </xf>
    <xf numFmtId="0" fontId="51" fillId="32" borderId="18" xfId="0" applyFont="1" applyFill="1" applyBorder="1" applyAlignment="1" applyProtection="1">
      <alignment horizontal="center" vertical="center" wrapText="1"/>
      <protection locked="0"/>
    </xf>
    <xf numFmtId="3" fontId="55" fillId="32" borderId="10" xfId="0" applyNumberFormat="1" applyFont="1" applyFill="1" applyBorder="1" applyAlignment="1" applyProtection="1">
      <alignment horizontal="center" vertical="center" wrapText="1"/>
    </xf>
    <xf numFmtId="183" fontId="55" fillId="32" borderId="10" xfId="0" applyNumberFormat="1" applyFont="1" applyFill="1" applyBorder="1" applyAlignment="1" applyProtection="1">
      <alignment horizontal="center" vertical="center" wrapText="1"/>
    </xf>
    <xf numFmtId="0" fontId="51" fillId="32" borderId="17" xfId="0" applyFont="1" applyFill="1" applyBorder="1" applyAlignment="1" applyProtection="1">
      <alignment horizontal="center" vertical="center" wrapText="1"/>
      <protection locked="0"/>
    </xf>
    <xf numFmtId="4" fontId="56" fillId="32" borderId="22" xfId="0" applyNumberFormat="1" applyFont="1" applyFill="1" applyBorder="1" applyAlignment="1" applyProtection="1">
      <alignment horizontal="center" vertical="center" wrapText="1"/>
    </xf>
    <xf numFmtId="4" fontId="56" fillId="32" borderId="17" xfId="0" applyNumberFormat="1" applyFont="1" applyFill="1" applyBorder="1" applyAlignment="1" applyProtection="1">
      <alignment horizontal="center" vertical="center" wrapText="1"/>
    </xf>
    <xf numFmtId="0" fontId="51" fillId="32" borderId="10" xfId="0" applyFont="1" applyFill="1" applyBorder="1" applyAlignment="1" applyProtection="1">
      <alignment horizontal="center" vertical="center" wrapText="1"/>
      <protection locked="0"/>
    </xf>
    <xf numFmtId="0" fontId="51" fillId="32" borderId="20" xfId="0" applyFont="1" applyFill="1" applyBorder="1" applyAlignment="1" applyProtection="1">
      <alignment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51" fillId="32" borderId="10" xfId="0" applyFont="1" applyFill="1" applyBorder="1" applyAlignment="1" applyProtection="1">
      <alignment vertical="center" wrapText="1"/>
      <protection locked="0"/>
    </xf>
    <xf numFmtId="4" fontId="56" fillId="32" borderId="22" xfId="0" applyNumberFormat="1" applyFont="1" applyFill="1" applyBorder="1" applyAlignment="1" applyProtection="1">
      <alignment horizontal="left" vertical="center" wrapText="1"/>
    </xf>
    <xf numFmtId="4" fontId="56" fillId="30" borderId="10" xfId="0" applyNumberFormat="1" applyFont="1" applyFill="1" applyBorder="1" applyAlignment="1" applyProtection="1">
      <alignment horizontal="center" vertical="center" wrapText="1"/>
    </xf>
    <xf numFmtId="3" fontId="55" fillId="30" borderId="10" xfId="0" applyNumberFormat="1" applyFont="1" applyFill="1" applyBorder="1" applyAlignment="1" applyProtection="1">
      <alignment horizontal="center" vertical="center" wrapText="1"/>
    </xf>
    <xf numFmtId="0" fontId="51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horizontal="center" vertical="center" wrapText="1"/>
      <protection locked="0"/>
    </xf>
    <xf numFmtId="0" fontId="56" fillId="0" borderId="20" xfId="0" applyFont="1" applyBorder="1" applyAlignment="1" applyProtection="1">
      <alignment vertical="center" wrapText="1"/>
      <protection locked="0"/>
    </xf>
    <xf numFmtId="0" fontId="55" fillId="0" borderId="10" xfId="0" applyFont="1" applyBorder="1" applyAlignment="1" applyProtection="1">
      <alignment horizontal="center" vertical="center" wrapText="1"/>
      <protection locked="0"/>
    </xf>
    <xf numFmtId="0" fontId="55" fillId="0" borderId="20" xfId="0" applyFont="1" applyBorder="1" applyAlignment="1" applyProtection="1">
      <alignment vertical="center" wrapText="1"/>
      <protection locked="0"/>
    </xf>
    <xf numFmtId="0" fontId="55" fillId="0" borderId="10" xfId="0" applyFont="1" applyBorder="1" applyAlignment="1" applyProtection="1">
      <alignment vertical="center" wrapText="1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vertical="center" wrapText="1"/>
      <protection locked="0"/>
    </xf>
    <xf numFmtId="182" fontId="51" fillId="30" borderId="10" xfId="0" applyNumberFormat="1" applyFont="1" applyFill="1" applyBorder="1" applyAlignment="1" applyProtection="1">
      <alignment horizontal="right" vertical="center" wrapText="1" indent="1"/>
      <protection locked="0"/>
    </xf>
    <xf numFmtId="182" fontId="51" fillId="30" borderId="27" xfId="0" applyNumberFormat="1" applyFont="1" applyFill="1" applyBorder="1" applyAlignment="1" applyProtection="1">
      <alignment horizontal="right" vertical="center" wrapText="1" indent="1"/>
      <protection locked="0"/>
    </xf>
    <xf numFmtId="2" fontId="16" fillId="0" borderId="0" xfId="0" applyNumberFormat="1" applyFont="1" applyAlignment="1">
      <alignment horizontal="center" wrapText="1"/>
    </xf>
    <xf numFmtId="2" fontId="104" fillId="0" borderId="0" xfId="0" applyNumberFormat="1" applyFont="1" applyAlignment="1">
      <alignment horizontal="center" wrapText="1"/>
    </xf>
    <xf numFmtId="14" fontId="104" fillId="0" borderId="0" xfId="0" applyNumberFormat="1" applyFont="1" applyAlignment="1">
      <alignment horizontal="center" wrapText="1"/>
    </xf>
    <xf numFmtId="1" fontId="108" fillId="0" borderId="0" xfId="0" applyNumberFormat="1" applyFont="1" applyBorder="1" applyAlignment="1">
      <alignment horizontal="center" wrapText="1"/>
    </xf>
    <xf numFmtId="2" fontId="108" fillId="0" borderId="0" xfId="0" applyNumberFormat="1" applyFont="1" applyBorder="1" applyAlignment="1">
      <alignment horizontal="center" wrapText="1"/>
    </xf>
    <xf numFmtId="2" fontId="105" fillId="0" borderId="0" xfId="0" applyNumberFormat="1" applyFont="1" applyBorder="1" applyAlignment="1">
      <alignment horizontal="center" wrapText="1"/>
    </xf>
    <xf numFmtId="14" fontId="108" fillId="0" borderId="0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wrapText="1"/>
    </xf>
    <xf numFmtId="2" fontId="105" fillId="0" borderId="0" xfId="0" applyNumberFormat="1" applyFont="1" applyAlignment="1">
      <alignment horizontal="center" wrapText="1"/>
    </xf>
    <xf numFmtId="14" fontId="105" fillId="0" borderId="0" xfId="0" applyNumberFormat="1" applyFont="1" applyAlignment="1">
      <alignment horizontal="center" wrapText="1"/>
    </xf>
    <xf numFmtId="1" fontId="109" fillId="0" borderId="0" xfId="0" applyNumberFormat="1" applyFont="1" applyAlignment="1">
      <alignment horizontal="center" wrapText="1"/>
    </xf>
    <xf numFmtId="1" fontId="16" fillId="0" borderId="0" xfId="0" applyNumberFormat="1" applyFont="1" applyAlignment="1">
      <alignment horizontal="center" wrapText="1"/>
    </xf>
    <xf numFmtId="2" fontId="110" fillId="0" borderId="0" xfId="0" applyNumberFormat="1" applyFont="1" applyAlignment="1">
      <alignment horizontal="center" wrapText="1"/>
    </xf>
    <xf numFmtId="2" fontId="105" fillId="0" borderId="0" xfId="0" applyNumberFormat="1" applyFont="1" applyBorder="1" applyAlignment="1">
      <alignment horizontal="left" vertical="center"/>
    </xf>
    <xf numFmtId="2" fontId="105" fillId="0" borderId="0" xfId="0" applyNumberFormat="1" applyFont="1" applyBorder="1" applyAlignment="1">
      <alignment vertical="top" wrapText="1"/>
    </xf>
    <xf numFmtId="2" fontId="16" fillId="0" borderId="10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2" fontId="105" fillId="0" borderId="10" xfId="0" applyNumberFormat="1" applyFont="1" applyBorder="1" applyAlignment="1">
      <alignment horizontal="center" wrapText="1"/>
    </xf>
    <xf numFmtId="2" fontId="104" fillId="0" borderId="10" xfId="0" applyNumberFormat="1" applyFont="1" applyBorder="1" applyAlignment="1">
      <alignment horizontal="center" wrapText="1"/>
    </xf>
    <xf numFmtId="1" fontId="106" fillId="0" borderId="10" xfId="0" applyNumberFormat="1" applyFont="1" applyBorder="1" applyAlignment="1">
      <alignment horizontal="center" wrapText="1"/>
    </xf>
    <xf numFmtId="2" fontId="106" fillId="0" borderId="10" xfId="0" applyNumberFormat="1" applyFont="1" applyBorder="1" applyAlignment="1">
      <alignment horizontal="center" wrapText="1"/>
    </xf>
    <xf numFmtId="4" fontId="107" fillId="0" borderId="10" xfId="0" applyNumberFormat="1" applyFont="1" applyBorder="1" applyAlignment="1">
      <alignment horizontal="center" vertical="center" wrapText="1"/>
    </xf>
    <xf numFmtId="1" fontId="108" fillId="0" borderId="10" xfId="0" applyNumberFormat="1" applyFont="1" applyBorder="1" applyAlignment="1">
      <alignment horizontal="center" wrapText="1"/>
    </xf>
    <xf numFmtId="2" fontId="108" fillId="0" borderId="10" xfId="0" applyNumberFormat="1" applyFont="1" applyBorder="1" applyAlignment="1">
      <alignment horizontal="left" wrapText="1"/>
    </xf>
    <xf numFmtId="2" fontId="16" fillId="30" borderId="10" xfId="0" applyNumberFormat="1" applyFont="1" applyFill="1" applyBorder="1" applyAlignment="1">
      <alignment horizontal="center" wrapText="1"/>
    </xf>
    <xf numFmtId="2" fontId="105" fillId="30" borderId="10" xfId="0" applyNumberFormat="1" applyFont="1" applyFill="1" applyBorder="1" applyAlignment="1">
      <alignment horizontal="center" wrapText="1"/>
    </xf>
    <xf numFmtId="4" fontId="105" fillId="30" borderId="10" xfId="0" applyNumberFormat="1" applyFont="1" applyFill="1" applyBorder="1" applyAlignment="1">
      <alignment horizontal="center" wrapText="1"/>
    </xf>
    <xf numFmtId="14" fontId="16" fillId="0" borderId="10" xfId="0" applyNumberFormat="1" applyFont="1" applyBorder="1" applyAlignment="1">
      <alignment horizontal="center" wrapText="1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4" fontId="46" fillId="0" borderId="10" xfId="0" applyNumberFormat="1" applyFont="1" applyFill="1" applyBorder="1" applyAlignment="1" applyProtection="1">
      <alignment horizontal="center" vertical="center" wrapText="1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1" fontId="109" fillId="0" borderId="10" xfId="0" applyNumberFormat="1" applyFont="1" applyBorder="1" applyAlignment="1">
      <alignment horizontal="center" wrapText="1"/>
    </xf>
    <xf numFmtId="184" fontId="16" fillId="0" borderId="0" xfId="0" applyNumberFormat="1" applyFont="1" applyFill="1" applyAlignment="1">
      <alignment horizontal="center" wrapText="1"/>
    </xf>
    <xf numFmtId="0" fontId="105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48" fillId="0" borderId="0" xfId="0" applyFont="1" applyFill="1" applyAlignment="1">
      <alignment vertical="center" wrapText="1"/>
    </xf>
    <xf numFmtId="191" fontId="48" fillId="0" borderId="0" xfId="0" applyNumberFormat="1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center" vertical="center" wrapText="1"/>
    </xf>
    <xf numFmtId="4" fontId="48" fillId="0" borderId="0" xfId="0" applyNumberFormat="1" applyFont="1" applyFill="1" applyAlignment="1">
      <alignment vertical="center" wrapText="1"/>
    </xf>
    <xf numFmtId="0" fontId="48" fillId="0" borderId="0" xfId="0" applyFont="1" applyFill="1" applyAlignment="1">
      <alignment horizontal="left" vertical="center" wrapText="1"/>
    </xf>
    <xf numFmtId="0" fontId="51" fillId="0" borderId="0" xfId="0" applyFont="1" applyFill="1" applyAlignment="1">
      <alignment horizontal="left" vertical="center"/>
    </xf>
    <xf numFmtId="0" fontId="55" fillId="0" borderId="0" xfId="0" applyFont="1" applyFill="1" applyAlignment="1">
      <alignment vertical="center" wrapText="1"/>
    </xf>
    <xf numFmtId="3" fontId="55" fillId="0" borderId="1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191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vertical="center" wrapText="1"/>
    </xf>
    <xf numFmtId="191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4" fontId="55" fillId="0" borderId="0" xfId="0" applyNumberFormat="1" applyFont="1" applyFill="1" applyAlignment="1">
      <alignment vertical="center" wrapText="1"/>
    </xf>
    <xf numFmtId="0" fontId="55" fillId="0" borderId="0" xfId="0" applyFont="1" applyFill="1" applyAlignment="1">
      <alignment horizontal="left" vertical="center" wrapText="1"/>
    </xf>
    <xf numFmtId="4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3" fontId="54" fillId="0" borderId="10" xfId="0" applyNumberFormat="1" applyFont="1" applyFill="1" applyBorder="1" applyAlignment="1">
      <alignment horizontal="center" vertical="center" wrapText="1"/>
    </xf>
    <xf numFmtId="191" fontId="55" fillId="31" borderId="10" xfId="0" applyNumberFormat="1" applyFont="1" applyFill="1" applyBorder="1" applyAlignment="1">
      <alignment horizontal="center" vertical="center" wrapText="1"/>
    </xf>
    <xf numFmtId="4" fontId="55" fillId="31" borderId="10" xfId="0" applyNumberFormat="1" applyFont="1" applyFill="1" applyBorder="1" applyAlignment="1">
      <alignment horizontal="left" vertical="center" wrapText="1"/>
    </xf>
    <xf numFmtId="1" fontId="55" fillId="31" borderId="10" xfId="0" applyNumberFormat="1" applyFont="1" applyFill="1" applyBorder="1" applyAlignment="1">
      <alignment horizontal="center" vertical="center" wrapText="1"/>
    </xf>
    <xf numFmtId="4" fontId="55" fillId="31" borderId="10" xfId="0" applyNumberFormat="1" applyFont="1" applyFill="1" applyBorder="1" applyAlignment="1">
      <alignment horizontal="center" vertical="center" wrapText="1"/>
    </xf>
    <xf numFmtId="192" fontId="55" fillId="31" borderId="10" xfId="0" applyNumberFormat="1" applyFont="1" applyFill="1" applyBorder="1" applyAlignment="1">
      <alignment horizontal="center" vertical="center" wrapText="1"/>
    </xf>
    <xf numFmtId="189" fontId="55" fillId="31" borderId="10" xfId="0" applyNumberFormat="1" applyFont="1" applyFill="1" applyBorder="1" applyAlignment="1">
      <alignment horizontal="center" vertical="center" wrapText="1"/>
    </xf>
    <xf numFmtId="4" fontId="112" fillId="30" borderId="10" xfId="0" applyNumberFormat="1" applyFont="1" applyFill="1" applyBorder="1" applyAlignment="1">
      <alignment horizontal="center" vertical="center" wrapText="1"/>
    </xf>
    <xf numFmtId="4" fontId="56" fillId="30" borderId="10" xfId="0" applyNumberFormat="1" applyFont="1" applyFill="1" applyBorder="1" applyAlignment="1">
      <alignment horizontal="center" vertical="center" wrapText="1"/>
    </xf>
    <xf numFmtId="192" fontId="56" fillId="30" borderId="10" xfId="0" applyNumberFormat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4" fontId="111" fillId="0" borderId="10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4" fontId="46" fillId="0" borderId="27" xfId="0" applyNumberFormat="1" applyFont="1" applyFill="1" applyBorder="1" applyAlignment="1" applyProtection="1">
      <alignment horizontal="center" vertical="center" wrapText="1"/>
    </xf>
    <xf numFmtId="4" fontId="56" fillId="32" borderId="25" xfId="0" applyNumberFormat="1" applyFont="1" applyFill="1" applyBorder="1" applyAlignment="1" applyProtection="1">
      <alignment horizontal="center" vertical="center" wrapText="1"/>
    </xf>
    <xf numFmtId="3" fontId="55" fillId="31" borderId="27" xfId="0" applyNumberFormat="1" applyFont="1" applyFill="1" applyBorder="1" applyAlignment="1" applyProtection="1">
      <alignment horizontal="center" vertical="center" wrapText="1"/>
    </xf>
    <xf numFmtId="3" fontId="55" fillId="30" borderId="27" xfId="0" applyNumberFormat="1" applyFont="1" applyFill="1" applyBorder="1" applyAlignment="1" applyProtection="1">
      <alignment horizontal="center" vertical="center" wrapText="1"/>
    </xf>
    <xf numFmtId="183" fontId="55" fillId="32" borderId="27" xfId="0" applyNumberFormat="1" applyFont="1" applyFill="1" applyBorder="1" applyAlignment="1" applyProtection="1">
      <alignment horizontal="center" vertical="center" wrapText="1"/>
    </xf>
    <xf numFmtId="183" fontId="55" fillId="31" borderId="2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4" fontId="112" fillId="0" borderId="10" xfId="0" applyNumberFormat="1" applyFont="1" applyFill="1" applyBorder="1" applyAlignment="1">
      <alignment horizontal="center" vertical="center" wrapText="1"/>
    </xf>
    <xf numFmtId="192" fontId="112" fillId="0" borderId="2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 applyProtection="1">
      <alignment horizontal="center" vertical="center" wrapText="1"/>
    </xf>
    <xf numFmtId="3" fontId="55" fillId="0" borderId="27" xfId="0" applyNumberFormat="1" applyFont="1" applyFill="1" applyBorder="1" applyAlignment="1" applyProtection="1">
      <alignment horizontal="center" vertical="center" wrapText="1"/>
    </xf>
    <xf numFmtId="4" fontId="56" fillId="0" borderId="10" xfId="0" applyNumberFormat="1" applyFont="1" applyFill="1" applyBorder="1" applyAlignment="1" applyProtection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4" fontId="112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 applyProtection="1">
      <alignment vertical="center"/>
      <protection locked="0"/>
    </xf>
    <xf numFmtId="183" fontId="55" fillId="0" borderId="10" xfId="0" applyNumberFormat="1" applyFont="1" applyFill="1" applyBorder="1" applyAlignment="1" applyProtection="1">
      <alignment horizontal="center" vertical="center" wrapText="1"/>
    </xf>
    <xf numFmtId="183" fontId="55" fillId="0" borderId="27" xfId="0" applyNumberFormat="1" applyFont="1" applyFill="1" applyBorder="1" applyAlignment="1" applyProtection="1">
      <alignment horizontal="center" vertical="center" wrapText="1"/>
    </xf>
    <xf numFmtId="0" fontId="48" fillId="0" borderId="10" xfId="0" applyFont="1" applyBorder="1"/>
    <xf numFmtId="0" fontId="48" fillId="0" borderId="10" xfId="0" applyFont="1" applyBorder="1" applyAlignment="1">
      <alignment horizontal="center"/>
    </xf>
    <xf numFmtId="182" fontId="48" fillId="0" borderId="0" xfId="0" applyNumberFormat="1" applyFont="1"/>
    <xf numFmtId="182" fontId="48" fillId="0" borderId="10" xfId="0" applyNumberFormat="1" applyFont="1" applyFill="1" applyBorder="1" applyAlignment="1">
      <alignment horizontal="right" vertical="center" wrapText="1" indent="1"/>
    </xf>
    <xf numFmtId="182" fontId="48" fillId="30" borderId="10" xfId="0" applyNumberFormat="1" applyFont="1" applyFill="1" applyBorder="1" applyAlignment="1">
      <alignment horizontal="right" vertical="center" wrapText="1" indent="1"/>
    </xf>
    <xf numFmtId="0" fontId="48" fillId="0" borderId="10" xfId="0" applyFont="1" applyFill="1" applyBorder="1"/>
    <xf numFmtId="4" fontId="56" fillId="32" borderId="10" xfId="0" applyNumberFormat="1" applyFont="1" applyFill="1" applyBorder="1" applyAlignment="1" applyProtection="1">
      <alignment horizontal="center" vertical="center" wrapText="1"/>
    </xf>
    <xf numFmtId="3" fontId="55" fillId="32" borderId="2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Alignment="1">
      <alignment vertical="center"/>
    </xf>
    <xf numFmtId="4" fontId="55" fillId="0" borderId="0" xfId="0" applyNumberFormat="1" applyFont="1" applyFill="1" applyBorder="1" applyAlignment="1">
      <alignment horizontal="center" vertical="center" wrapText="1"/>
    </xf>
    <xf numFmtId="2" fontId="104" fillId="0" borderId="0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left"/>
    </xf>
    <xf numFmtId="14" fontId="104" fillId="0" borderId="0" xfId="0" applyNumberFormat="1" applyFont="1" applyBorder="1" applyAlignment="1">
      <alignment horizontal="center" wrapText="1"/>
    </xf>
    <xf numFmtId="0" fontId="48" fillId="0" borderId="10" xfId="0" applyFont="1" applyBorder="1" applyAlignment="1">
      <alignment horizontal="center" vertical="center"/>
    </xf>
    <xf numFmtId="1" fontId="55" fillId="31" borderId="10" xfId="0" applyNumberFormat="1" applyFont="1" applyFill="1" applyBorder="1" applyAlignment="1">
      <alignment horizontal="left" vertical="center" wrapText="1"/>
    </xf>
    <xf numFmtId="4" fontId="51" fillId="0" borderId="0" xfId="0" applyNumberFormat="1" applyFont="1" applyProtection="1">
      <protection locked="0"/>
    </xf>
    <xf numFmtId="0" fontId="48" fillId="0" borderId="30" xfId="0" applyFont="1" applyBorder="1" applyAlignment="1" applyProtection="1">
      <alignment horizontal="center" vertical="center" wrapText="1"/>
      <protection locked="0"/>
    </xf>
    <xf numFmtId="0" fontId="48" fillId="0" borderId="17" xfId="0" applyFont="1" applyBorder="1" applyAlignment="1" applyProtection="1">
      <alignment horizontal="center" vertical="center" wrapText="1"/>
      <protection locked="0"/>
    </xf>
    <xf numFmtId="0" fontId="48" fillId="0" borderId="25" xfId="0" applyFont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0" fontId="51" fillId="0" borderId="16" xfId="0" applyFont="1" applyBorder="1" applyAlignment="1" applyProtection="1">
      <alignment horizontal="center" vertical="center" wrapText="1"/>
      <protection locked="0"/>
    </xf>
    <xf numFmtId="0" fontId="51" fillId="0" borderId="17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6" xfId="0" applyFont="1" applyBorder="1" applyAlignment="1" applyProtection="1">
      <alignment horizontal="center" vertical="center" wrapText="1"/>
      <protection locked="0"/>
    </xf>
    <xf numFmtId="2" fontId="16" fillId="0" borderId="0" xfId="0" applyNumberFormat="1" applyFont="1" applyAlignment="1">
      <alignment horizontal="left" wrapText="1"/>
    </xf>
    <xf numFmtId="2" fontId="16" fillId="0" borderId="10" xfId="0" applyNumberFormat="1" applyFont="1" applyBorder="1" applyAlignment="1">
      <alignment horizontal="center" wrapText="1"/>
    </xf>
    <xf numFmtId="1" fontId="108" fillId="0" borderId="10" xfId="0" applyNumberFormat="1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05" fillId="0" borderId="10" xfId="0" applyFont="1" applyBorder="1" applyAlignment="1">
      <alignment horizontal="center" wrapText="1"/>
    </xf>
    <xf numFmtId="14" fontId="16" fillId="0" borderId="10" xfId="0" applyNumberFormat="1" applyFont="1" applyBorder="1" applyAlignment="1">
      <alignment horizontal="center" wrapText="1"/>
    </xf>
    <xf numFmtId="2" fontId="104" fillId="0" borderId="0" xfId="0" applyNumberFormat="1" applyFont="1" applyAlignment="1">
      <alignment horizontal="right" wrapText="1"/>
    </xf>
    <xf numFmtId="2" fontId="105" fillId="0" borderId="16" xfId="0" applyNumberFormat="1" applyFont="1" applyBorder="1" applyAlignment="1">
      <alignment horizontal="center" vertical="center"/>
    </xf>
    <xf numFmtId="2" fontId="105" fillId="0" borderId="17" xfId="0" applyNumberFormat="1" applyFont="1" applyBorder="1" applyAlignment="1">
      <alignment horizontal="center" vertical="center"/>
    </xf>
    <xf numFmtId="2" fontId="105" fillId="0" borderId="18" xfId="0" applyNumberFormat="1" applyFont="1" applyBorder="1" applyAlignment="1">
      <alignment horizontal="center" vertical="center"/>
    </xf>
    <xf numFmtId="2" fontId="105" fillId="0" borderId="10" xfId="0" applyNumberFormat="1" applyFont="1" applyBorder="1" applyAlignment="1">
      <alignment horizontal="center" vertical="center" wrapText="1"/>
    </xf>
    <xf numFmtId="0" fontId="56" fillId="0" borderId="16" xfId="0" applyFont="1" applyBorder="1" applyAlignment="1" applyProtection="1">
      <alignment horizontal="center" vertical="center" wrapText="1"/>
      <protection locked="0"/>
    </xf>
    <xf numFmtId="0" fontId="56" fillId="0" borderId="17" xfId="0" applyFont="1" applyBorder="1" applyAlignment="1" applyProtection="1">
      <alignment horizontal="center" vertical="center" wrapText="1"/>
      <protection locked="0"/>
    </xf>
    <xf numFmtId="4" fontId="46" fillId="0" borderId="10" xfId="0" applyNumberFormat="1" applyFont="1" applyFill="1" applyBorder="1" applyAlignment="1" applyProtection="1">
      <alignment horizontal="center" vertical="center" wrapText="1"/>
    </xf>
    <xf numFmtId="4" fontId="56" fillId="36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Font="1" applyBorder="1" applyAlignment="1" applyProtection="1">
      <alignment horizontal="center" vertical="center" wrapText="1"/>
      <protection locked="0"/>
    </xf>
    <xf numFmtId="4" fontId="55" fillId="0" borderId="19" xfId="0" applyNumberFormat="1" applyFont="1" applyFill="1" applyBorder="1" applyAlignment="1" applyProtection="1">
      <alignment horizontal="center" vertical="center" wrapText="1"/>
    </xf>
    <xf numFmtId="4" fontId="55" fillId="0" borderId="20" xfId="0" applyNumberFormat="1" applyFont="1" applyFill="1" applyBorder="1" applyAlignment="1" applyProtection="1">
      <alignment horizontal="center" vertical="center" wrapText="1"/>
    </xf>
    <xf numFmtId="4" fontId="55" fillId="0" borderId="16" xfId="0" applyNumberFormat="1" applyFont="1" applyFill="1" applyBorder="1" applyAlignment="1" applyProtection="1">
      <alignment horizontal="center" vertical="center" wrapText="1"/>
    </xf>
    <xf numFmtId="4" fontId="55" fillId="0" borderId="17" xfId="0" applyNumberFormat="1" applyFont="1" applyFill="1" applyBorder="1" applyAlignment="1" applyProtection="1">
      <alignment horizontal="center" vertical="center" wrapText="1"/>
    </xf>
    <xf numFmtId="4" fontId="55" fillId="0" borderId="0" xfId="0" applyNumberFormat="1" applyFont="1" applyFill="1" applyBorder="1" applyAlignment="1" applyProtection="1">
      <alignment horizontal="right" vertical="center" wrapText="1"/>
    </xf>
    <xf numFmtId="0" fontId="55" fillId="0" borderId="0" xfId="0" applyNumberFormat="1" applyFont="1" applyFill="1" applyBorder="1" applyAlignment="1" applyProtection="1">
      <alignment horizontal="right" vertical="center" wrapText="1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4" fontId="55" fillId="0" borderId="26" xfId="0" applyNumberFormat="1" applyFont="1" applyFill="1" applyBorder="1" applyAlignment="1" applyProtection="1">
      <alignment horizontal="center" vertical="center" wrapText="1"/>
    </xf>
    <xf numFmtId="4" fontId="55" fillId="0" borderId="21" xfId="0" applyNumberFormat="1" applyFont="1" applyFill="1" applyBorder="1" applyAlignment="1" applyProtection="1">
      <alignment horizontal="center" vertical="center" wrapText="1"/>
    </xf>
    <xf numFmtId="4" fontId="46" fillId="0" borderId="27" xfId="0" applyNumberFormat="1" applyFont="1" applyFill="1" applyBorder="1" applyAlignment="1" applyProtection="1">
      <alignment horizontal="center" vertical="center" wrapText="1"/>
    </xf>
    <xf numFmtId="4" fontId="56" fillId="36" borderId="16" xfId="0" applyNumberFormat="1" applyFont="1" applyFill="1" applyBorder="1" applyAlignment="1" applyProtection="1">
      <alignment horizontal="center" vertical="center" wrapText="1"/>
    </xf>
    <xf numFmtId="4" fontId="56" fillId="36" borderId="25" xfId="0" applyNumberFormat="1" applyFont="1" applyFill="1" applyBorder="1" applyAlignment="1" applyProtection="1">
      <alignment horizontal="center" vertical="center" wrapText="1"/>
    </xf>
    <xf numFmtId="0" fontId="48" fillId="29" borderId="16" xfId="0" applyFont="1" applyFill="1" applyBorder="1" applyAlignment="1">
      <alignment horizontal="center" vertical="center" wrapText="1"/>
    </xf>
    <xf numFmtId="0" fontId="48" fillId="29" borderId="17" xfId="0" applyFont="1" applyFill="1" applyBorder="1" applyAlignment="1">
      <alignment horizontal="center" vertical="center" wrapText="1"/>
    </xf>
    <xf numFmtId="0" fontId="48" fillId="29" borderId="18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192" fontId="111" fillId="0" borderId="19" xfId="0" applyNumberFormat="1" applyFont="1" applyFill="1" applyBorder="1" applyAlignment="1">
      <alignment horizontal="center" vertical="center" wrapText="1"/>
    </xf>
    <xf numFmtId="192" fontId="111" fillId="0" borderId="43" xfId="0" applyNumberFormat="1" applyFont="1" applyFill="1" applyBorder="1" applyAlignment="1">
      <alignment horizontal="center" vertical="center" wrapText="1"/>
    </xf>
    <xf numFmtId="192" fontId="111" fillId="0" borderId="20" xfId="0" applyNumberFormat="1" applyFont="1" applyFill="1" applyBorder="1" applyAlignment="1">
      <alignment horizontal="center" vertical="center" wrapText="1"/>
    </xf>
    <xf numFmtId="191" fontId="111" fillId="0" borderId="10" xfId="0" applyNumberFormat="1" applyFont="1" applyFill="1" applyBorder="1" applyAlignment="1">
      <alignment horizontal="center" vertical="center" wrapText="1"/>
    </xf>
    <xf numFmtId="4" fontId="111" fillId="0" borderId="19" xfId="0" applyNumberFormat="1" applyFont="1" applyFill="1" applyBorder="1" applyAlignment="1">
      <alignment horizontal="center" vertical="center" wrapText="1"/>
    </xf>
    <xf numFmtId="4" fontId="111" fillId="0" borderId="20" xfId="0" applyNumberFormat="1" applyFont="1" applyFill="1" applyBorder="1" applyAlignment="1">
      <alignment horizontal="center" vertical="center" wrapText="1"/>
    </xf>
    <xf numFmtId="1" fontId="111" fillId="0" borderId="10" xfId="0" applyNumberFormat="1" applyFont="1" applyFill="1" applyBorder="1" applyAlignment="1">
      <alignment horizontal="center" vertical="center" wrapText="1"/>
    </xf>
    <xf numFmtId="4" fontId="111" fillId="0" borderId="10" xfId="0" applyNumberFormat="1" applyFont="1" applyFill="1" applyBorder="1" applyAlignment="1">
      <alignment horizontal="center" vertical="center" wrapText="1"/>
    </xf>
    <xf numFmtId="4" fontId="111" fillId="0" borderId="44" xfId="0" applyNumberFormat="1" applyFont="1" applyFill="1" applyBorder="1" applyAlignment="1">
      <alignment horizontal="center" vertical="center" wrapText="1"/>
    </xf>
    <xf numFmtId="4" fontId="111" fillId="0" borderId="45" xfId="0" applyNumberFormat="1" applyFont="1" applyFill="1" applyBorder="1" applyAlignment="1">
      <alignment horizontal="center" vertical="center" wrapText="1"/>
    </xf>
    <xf numFmtId="4" fontId="111" fillId="0" borderId="26" xfId="0" applyNumberFormat="1" applyFont="1" applyFill="1" applyBorder="1" applyAlignment="1">
      <alignment horizontal="center" vertical="center" wrapText="1"/>
    </xf>
    <xf numFmtId="3" fontId="56" fillId="0" borderId="16" xfId="0" applyNumberFormat="1" applyFont="1" applyFill="1" applyBorder="1" applyAlignment="1">
      <alignment horizontal="center" vertical="center" wrapText="1"/>
    </xf>
    <xf numFmtId="3" fontId="56" fillId="0" borderId="17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1" fontId="111" fillId="0" borderId="19" xfId="0" applyNumberFormat="1" applyFont="1" applyFill="1" applyBorder="1" applyAlignment="1">
      <alignment horizontal="center" vertical="center" wrapText="1"/>
    </xf>
    <xf numFmtId="1" fontId="111" fillId="0" borderId="43" xfId="0" applyNumberFormat="1" applyFont="1" applyFill="1" applyBorder="1" applyAlignment="1">
      <alignment horizontal="center" vertical="center" wrapText="1"/>
    </xf>
    <xf numFmtId="1" fontId="111" fillId="0" borderId="20" xfId="0" applyNumberFormat="1" applyFont="1" applyFill="1" applyBorder="1" applyAlignment="1">
      <alignment horizontal="center" vertical="center" wrapText="1"/>
    </xf>
    <xf numFmtId="4" fontId="55" fillId="0" borderId="19" xfId="0" applyNumberFormat="1" applyFont="1" applyFill="1" applyBorder="1" applyAlignment="1">
      <alignment horizontal="center" vertical="center" wrapText="1"/>
    </xf>
    <xf numFmtId="4" fontId="55" fillId="0" borderId="43" xfId="0" applyNumberFormat="1" applyFont="1" applyFill="1" applyBorder="1" applyAlignment="1">
      <alignment horizontal="center" vertical="center" wrapText="1"/>
    </xf>
    <xf numFmtId="4" fontId="55" fillId="0" borderId="20" xfId="0" applyNumberFormat="1" applyFont="1" applyFill="1" applyBorder="1" applyAlignment="1">
      <alignment horizontal="center" vertical="center" wrapText="1"/>
    </xf>
    <xf numFmtId="4" fontId="112" fillId="0" borderId="16" xfId="0" applyNumberFormat="1" applyFont="1" applyFill="1" applyBorder="1" applyAlignment="1">
      <alignment horizontal="center" vertical="center" wrapText="1"/>
    </xf>
    <xf numFmtId="4" fontId="112" fillId="0" borderId="17" xfId="0" applyNumberFormat="1" applyFont="1" applyFill="1" applyBorder="1" applyAlignment="1">
      <alignment horizontal="center" vertical="center" wrapText="1"/>
    </xf>
    <xf numFmtId="4" fontId="112" fillId="0" borderId="18" xfId="0" applyNumberFormat="1" applyFont="1" applyFill="1" applyBorder="1" applyAlignment="1">
      <alignment horizontal="center" vertical="center" wrapText="1"/>
    </xf>
    <xf numFmtId="3" fontId="56" fillId="0" borderId="18" xfId="0" applyNumberFormat="1" applyFont="1" applyFill="1" applyBorder="1" applyAlignment="1">
      <alignment horizontal="center" vertical="center" wrapText="1"/>
    </xf>
  </cellXfs>
  <cellStyles count="961">
    <cellStyle name="_2005_БЮДЖЕТ В4 ==11.11.==  КР Дороги, Мосты" xfId="2"/>
    <cellStyle name="_2006_06_28_MGRES_inventories_request" xfId="3"/>
    <cellStyle name="_forma_rascheta_effectivnosti_proekta (00174077$$$)" xfId="4"/>
    <cellStyle name="_Альбом  от 25.08.06 недействующая редакция" xfId="599"/>
    <cellStyle name="_Альбом бюджетных форм   от 23.08.05" xfId="600"/>
    <cellStyle name="_Альбом бюджетных форм   от 25.08.05" xfId="601"/>
    <cellStyle name="_Альбом бюджетных форм от 18.07.06" xfId="602"/>
    <cellStyle name="_Анализ КТП_регионы" xfId="5"/>
    <cellStyle name="_АРМ_БП_РСК_V6.1.unprotec" xfId="603"/>
    <cellStyle name="_Бюджетные формы.Расходы v.3.1" xfId="604"/>
    <cellStyle name="_выручка по присоединениям2" xfId="605"/>
    <cellStyle name="_Запрос-Сети-дох-22-12" xfId="6"/>
    <cellStyle name="_Затратный СШГЭС  14 11 2004" xfId="7"/>
    <cellStyle name="_Инвест ТЗ" xfId="606"/>
    <cellStyle name="_Инвест ТЗ АВТОМАТИЗАЦИЯ  1.06.06   Ф" xfId="607"/>
    <cellStyle name="_Инвест ТЗ АВТОМАТИЗАЦИЯ  31.05.06   Ф нов" xfId="608"/>
    <cellStyle name="_Индексация исторических затрат" xfId="8"/>
    <cellStyle name="_ИП 17032006" xfId="9"/>
    <cellStyle name="_ИП СО 2006-2010 отпр 22 01 07" xfId="10"/>
    <cellStyle name="_ИП ФСК 10_10_07 куцанкиной" xfId="11"/>
    <cellStyle name="_ИП ФСК на 2008-2012 17 12 071" xfId="12"/>
    <cellStyle name="_ИПР Холдинга (от Шаркевич) (00137FFF$$$)" xfId="13"/>
    <cellStyle name="_источники инв программы_Комиэнерго" xfId="14"/>
    <cellStyle name="_Классификаторы" xfId="609"/>
    <cellStyle name="_классификаторы УБМ (изменения)" xfId="610"/>
    <cellStyle name="_Книга1" xfId="611"/>
    <cellStyle name="_Книга1 2" xfId="612"/>
    <cellStyle name="_Книга1_Копия АРМ_БП_РСК_V10 0_20100213" xfId="613"/>
    <cellStyle name="_Книга1_Копия АРМ_БП_РСК_V10 0_20100213 2" xfId="614"/>
    <cellStyle name="_Книга5" xfId="615"/>
    <cellStyle name="_Копия Прил 2(Показатели ИП)" xfId="15"/>
    <cellStyle name="_Лист Microsoft Excel" xfId="16"/>
    <cellStyle name="_Макет-финансирование" xfId="17"/>
    <cellStyle name="_Плановая протяженность Января" xfId="18"/>
    <cellStyle name="_Прил 4_Формат-РСК_29.11.06_new finalприм" xfId="616"/>
    <cellStyle name="_Прил1-1 (МГИ) (Дубинину) 22 01 07" xfId="19"/>
    <cellStyle name="_Прилож.№4(ввод мощн.) август" xfId="20"/>
    <cellStyle name="_ПРИЛОЖЕНИЕ  _24 2009- 2013 (09.02.2009) (0016F046033)" xfId="21"/>
    <cellStyle name="_Приложение №5а_перегруппировка МРСК СЗ" xfId="22"/>
    <cellStyle name="_Программа СО 7-09 для СД от 29 марта" xfId="23"/>
    <cellStyle name="_Производств-е показатели ЮНГ на 2005 на 49700 для согласования" xfId="24"/>
    <cellStyle name="_Расчет ВВ подстанций" xfId="25"/>
    <cellStyle name="_Расчет ВЛ таб.формата 12 рыба" xfId="26"/>
    <cellStyle name="_Расчет нормативной численности на вновь вводимые обьекты" xfId="617"/>
    <cellStyle name="_Расшифровка по приоритетам_МРСК 2" xfId="27"/>
    <cellStyle name="_СВОДНЫЙ ОТЧЕТ" xfId="28"/>
    <cellStyle name="_Сергееву_тех х-ки_18.11" xfId="29"/>
    <cellStyle name="_СО 2006-2010  Прил1-1 (Дубинину)" xfId="30"/>
    <cellStyle name="_Табл П2-5 (вар18-10-2006)" xfId="31"/>
    <cellStyle name="_Узлы учета_10.08" xfId="32"/>
    <cellStyle name="_Форма исх." xfId="33"/>
    <cellStyle name="_Форма Приложения 16" xfId="34"/>
    <cellStyle name="_Формат ДПН (предложения ФСК) 01.02.08г. Сравнение" xfId="618"/>
    <cellStyle name="_Формат укрупненного расчета стоимости строительства (реконструкции) объекта ПЭС" xfId="35"/>
    <cellStyle name="_Формат-РСК_2007_12 02 06_м" xfId="619"/>
    <cellStyle name="_Формы 6,7,КС-ввод" xfId="36"/>
    <cellStyle name="_ХОЛДИНГ_МРСК_09 10 2008" xfId="37"/>
    <cellStyle name="”ќђќ‘ћ‚›‰" xfId="620"/>
    <cellStyle name="”љ‘ђћ‚ђќќ›‰" xfId="621"/>
    <cellStyle name="„…ќ…†ќ›‰" xfId="622"/>
    <cellStyle name="‡ђѓћ‹ћ‚ћљ1" xfId="623"/>
    <cellStyle name="‡ђѓћ‹ћ‚ћљ2" xfId="624"/>
    <cellStyle name="’ћѓћ‚›‰" xfId="625"/>
    <cellStyle name="1Normal" xfId="38"/>
    <cellStyle name="1Normal 2" xfId="626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Акцент1 10" xfId="45"/>
    <cellStyle name="20% - Акцент1 2" xfId="46"/>
    <cellStyle name="20% - Акцент1 2 2" xfId="627"/>
    <cellStyle name="20% - Акцент1 2 3" xfId="628"/>
    <cellStyle name="20% - Акцент1 2 4" xfId="629"/>
    <cellStyle name="20% - Акцент1 2 5" xfId="630"/>
    <cellStyle name="20% - Акцент1 2 6" xfId="631"/>
    <cellStyle name="20% - Акцент1 3" xfId="47"/>
    <cellStyle name="20% - Акцент1 4" xfId="48"/>
    <cellStyle name="20% - Акцент1 5" xfId="49"/>
    <cellStyle name="20% - Акцент1 6" xfId="50"/>
    <cellStyle name="20% - Акцент1 7" xfId="51"/>
    <cellStyle name="20% - Акцент1 8" xfId="52"/>
    <cellStyle name="20% - Акцент1 9" xfId="53"/>
    <cellStyle name="20% - Акцент2 10" xfId="54"/>
    <cellStyle name="20% - Акцент2 2" xfId="55"/>
    <cellStyle name="20% - Акцент2 2 2" xfId="632"/>
    <cellStyle name="20% - Акцент2 2 3" xfId="633"/>
    <cellStyle name="20% - Акцент2 2 4" xfId="634"/>
    <cellStyle name="20% - Акцент2 2 5" xfId="635"/>
    <cellStyle name="20% - Акцент2 2 6" xfId="636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2" xfId="64"/>
    <cellStyle name="20% - Акцент3 2 2" xfId="637"/>
    <cellStyle name="20% - Акцент3 2 3" xfId="638"/>
    <cellStyle name="20% - Акцент3 2 4" xfId="639"/>
    <cellStyle name="20% - Акцент3 2 5" xfId="640"/>
    <cellStyle name="20% - Акцент3 2 6" xfId="641"/>
    <cellStyle name="20% - Акцент3 3" xfId="65"/>
    <cellStyle name="20% - Акцент3 4" xfId="66"/>
    <cellStyle name="20% - Акцент3 5" xfId="67"/>
    <cellStyle name="20% - Акцент3 6" xfId="68"/>
    <cellStyle name="20% - Акцент3 7" xfId="69"/>
    <cellStyle name="20% - Акцент3 8" xfId="70"/>
    <cellStyle name="20% - Акцент3 9" xfId="71"/>
    <cellStyle name="20% - Акцент4 10" xfId="72"/>
    <cellStyle name="20% - Акцент4 2" xfId="73"/>
    <cellStyle name="20% - Акцент4 2 2" xfId="642"/>
    <cellStyle name="20% - Акцент4 2 3" xfId="643"/>
    <cellStyle name="20% - Акцент4 2 4" xfId="644"/>
    <cellStyle name="20% - Акцент4 2 5" xfId="645"/>
    <cellStyle name="20% - Акцент4 2 6" xfId="646"/>
    <cellStyle name="20% - Акцент4 3" xfId="74"/>
    <cellStyle name="20% - Акцент4 4" xfId="75"/>
    <cellStyle name="20% - Акцент4 5" xfId="76"/>
    <cellStyle name="20% - Акцент4 6" xfId="77"/>
    <cellStyle name="20% - Акцент4 7" xfId="78"/>
    <cellStyle name="20% - Акцент4 8" xfId="79"/>
    <cellStyle name="20% - Акцент4 9" xfId="80"/>
    <cellStyle name="20% - Акцент5 10" xfId="81"/>
    <cellStyle name="20% - Акцент5 2" xfId="82"/>
    <cellStyle name="20% - Акцент5 2 2" xfId="647"/>
    <cellStyle name="20% - Акцент5 2 3" xfId="648"/>
    <cellStyle name="20% - Акцент5 2 4" xfId="649"/>
    <cellStyle name="20% - Акцент5 2 5" xfId="650"/>
    <cellStyle name="20% - Акцент5 2 6" xfId="651"/>
    <cellStyle name="20% - Акцент5 3" xfId="83"/>
    <cellStyle name="20% - Акцент5 4" xfId="84"/>
    <cellStyle name="20% - Акцент5 5" xfId="85"/>
    <cellStyle name="20% - Акцент5 6" xfId="86"/>
    <cellStyle name="20% - Акцент5 7" xfId="87"/>
    <cellStyle name="20% - Акцент5 8" xfId="88"/>
    <cellStyle name="20% - Акцент5 9" xfId="89"/>
    <cellStyle name="20% - Акцент6 10" xfId="90"/>
    <cellStyle name="20% - Акцент6 2" xfId="91"/>
    <cellStyle name="20% - Акцент6 2 2" xfId="652"/>
    <cellStyle name="20% - Акцент6 2 3" xfId="653"/>
    <cellStyle name="20% - Акцент6 2 4" xfId="654"/>
    <cellStyle name="20% - Акцент6 2 5" xfId="655"/>
    <cellStyle name="20% - Акцент6 2 6" xfId="656"/>
    <cellStyle name="20% - Акцент6 3" xfId="92"/>
    <cellStyle name="20% - Акцент6 4" xfId="93"/>
    <cellStyle name="20% - Акцент6 5" xfId="94"/>
    <cellStyle name="20% - Акцент6 6" xfId="95"/>
    <cellStyle name="20% - Акцент6 7" xfId="96"/>
    <cellStyle name="20% - Акцент6 8" xfId="97"/>
    <cellStyle name="20% - Акцент6 9" xfId="98"/>
    <cellStyle name="40% - Accent1" xfId="99"/>
    <cellStyle name="40% - Accent2" xfId="100"/>
    <cellStyle name="40% - Accent3" xfId="101"/>
    <cellStyle name="40% - Accent4" xfId="102"/>
    <cellStyle name="40% - Accent5" xfId="103"/>
    <cellStyle name="40% - Accent6" xfId="104"/>
    <cellStyle name="40% - Акцент1 10" xfId="105"/>
    <cellStyle name="40% - Акцент1 2" xfId="106"/>
    <cellStyle name="40% - Акцент1 2 2" xfId="657"/>
    <cellStyle name="40% - Акцент1 2 3" xfId="658"/>
    <cellStyle name="40% - Акцент1 2 4" xfId="659"/>
    <cellStyle name="40% - Акцент1 2 5" xfId="660"/>
    <cellStyle name="40% - Акцент1 2 6" xfId="661"/>
    <cellStyle name="40% - Акцент1 3" xfId="107"/>
    <cellStyle name="40% - Акцент1 4" xfId="108"/>
    <cellStyle name="40% - Акцент1 5" xfId="109"/>
    <cellStyle name="40% - Акцент1 6" xfId="110"/>
    <cellStyle name="40% - Акцент1 7" xfId="111"/>
    <cellStyle name="40% - Акцент1 8" xfId="112"/>
    <cellStyle name="40% - Акцент1 9" xfId="113"/>
    <cellStyle name="40% - Акцент2 10" xfId="114"/>
    <cellStyle name="40% - Акцент2 2" xfId="115"/>
    <cellStyle name="40% - Акцент2 2 2" xfId="662"/>
    <cellStyle name="40% - Акцент2 2 3" xfId="663"/>
    <cellStyle name="40% - Акцент2 2 4" xfId="664"/>
    <cellStyle name="40% - Акцент2 2 5" xfId="665"/>
    <cellStyle name="40% - Акцент2 2 6" xfId="666"/>
    <cellStyle name="40% - Акцент2 3" xfId="116"/>
    <cellStyle name="40% - Акцент2 4" xfId="117"/>
    <cellStyle name="40% - Акцент2 5" xfId="118"/>
    <cellStyle name="40% - Акцент2 6" xfId="119"/>
    <cellStyle name="40% - Акцент2 7" xfId="120"/>
    <cellStyle name="40% - Акцент2 8" xfId="121"/>
    <cellStyle name="40% - Акцент2 9" xfId="122"/>
    <cellStyle name="40% - Акцент3 10" xfId="123"/>
    <cellStyle name="40% - Акцент3 2" xfId="124"/>
    <cellStyle name="40% - Акцент3 2 2" xfId="667"/>
    <cellStyle name="40% - Акцент3 2 3" xfId="668"/>
    <cellStyle name="40% - Акцент3 2 4" xfId="669"/>
    <cellStyle name="40% - Акцент3 2 5" xfId="670"/>
    <cellStyle name="40% - Акцент3 2 6" xfId="671"/>
    <cellStyle name="40% - Акцент3 3" xfId="125"/>
    <cellStyle name="40% - Акцент3 4" xfId="126"/>
    <cellStyle name="40% - Акцент3 5" xfId="127"/>
    <cellStyle name="40% - Акцент3 6" xfId="128"/>
    <cellStyle name="40% - Акцент3 7" xfId="129"/>
    <cellStyle name="40% - Акцент3 8" xfId="130"/>
    <cellStyle name="40% - Акцент3 9" xfId="131"/>
    <cellStyle name="40% - Акцент4 10" xfId="132"/>
    <cellStyle name="40% - Акцент4 2" xfId="133"/>
    <cellStyle name="40% - Акцент4 2 2" xfId="672"/>
    <cellStyle name="40% - Акцент4 2 3" xfId="673"/>
    <cellStyle name="40% - Акцент4 2 4" xfId="674"/>
    <cellStyle name="40% - Акцент4 2 5" xfId="675"/>
    <cellStyle name="40% - Акцент4 2 6" xfId="676"/>
    <cellStyle name="40% - Акцент4 3" xfId="134"/>
    <cellStyle name="40% - Акцент4 4" xfId="135"/>
    <cellStyle name="40% - Акцент4 5" xfId="136"/>
    <cellStyle name="40% - Акцент4 6" xfId="137"/>
    <cellStyle name="40% - Акцент4 7" xfId="138"/>
    <cellStyle name="40% - Акцент4 8" xfId="139"/>
    <cellStyle name="40% - Акцент4 9" xfId="140"/>
    <cellStyle name="40% - Акцент5 10" xfId="141"/>
    <cellStyle name="40% - Акцент5 2" xfId="142"/>
    <cellStyle name="40% - Акцент5 2 2" xfId="677"/>
    <cellStyle name="40% - Акцент5 2 3" xfId="678"/>
    <cellStyle name="40% - Акцент5 2 4" xfId="679"/>
    <cellStyle name="40% - Акцент5 2 5" xfId="680"/>
    <cellStyle name="40% - Акцент5 2 6" xfId="681"/>
    <cellStyle name="40% - Акцент5 3" xfId="143"/>
    <cellStyle name="40% - Акцент5 4" xfId="144"/>
    <cellStyle name="40% - Акцент5 5" xfId="145"/>
    <cellStyle name="40% - Акцент5 6" xfId="146"/>
    <cellStyle name="40% - Акцент5 7" xfId="147"/>
    <cellStyle name="40% - Акцент5 8" xfId="148"/>
    <cellStyle name="40% - Акцент5 9" xfId="149"/>
    <cellStyle name="40% - Акцент6 10" xfId="150"/>
    <cellStyle name="40% - Акцент6 2" xfId="151"/>
    <cellStyle name="40% - Акцент6 2 2" xfId="682"/>
    <cellStyle name="40% - Акцент6 2 3" xfId="683"/>
    <cellStyle name="40% - Акцент6 2 4" xfId="684"/>
    <cellStyle name="40% - Акцент6 2 5" xfId="685"/>
    <cellStyle name="40% - Акцент6 2 6" xfId="686"/>
    <cellStyle name="40% - Акцент6 3" xfId="152"/>
    <cellStyle name="40% - Акцент6 4" xfId="153"/>
    <cellStyle name="40% - Акцент6 5" xfId="154"/>
    <cellStyle name="40% - Акцент6 6" xfId="155"/>
    <cellStyle name="40% - Акцент6 7" xfId="156"/>
    <cellStyle name="40% - Акцент6 8" xfId="157"/>
    <cellStyle name="40% - Акцент6 9" xfId="158"/>
    <cellStyle name="60% - Accent1" xfId="159"/>
    <cellStyle name="60% - Accent2" xfId="160"/>
    <cellStyle name="60% - Accent3" xfId="161"/>
    <cellStyle name="60% - Accent4" xfId="162"/>
    <cellStyle name="60% - Accent5" xfId="163"/>
    <cellStyle name="60% - Accent6" xfId="164"/>
    <cellStyle name="60% - Акцент1 10" xfId="165"/>
    <cellStyle name="60% - Акцент1 2" xfId="166"/>
    <cellStyle name="60% - Акцент1 2 2" xfId="687"/>
    <cellStyle name="60% - Акцент1 2 3" xfId="688"/>
    <cellStyle name="60% - Акцент1 2 4" xfId="689"/>
    <cellStyle name="60% - Акцент1 2 5" xfId="690"/>
    <cellStyle name="60% - Акцент1 2 6" xfId="691"/>
    <cellStyle name="60% - Акцент1 3" xfId="167"/>
    <cellStyle name="60% - Акцент1 4" xfId="168"/>
    <cellStyle name="60% - Акцент1 5" xfId="169"/>
    <cellStyle name="60% - Акцент1 6" xfId="170"/>
    <cellStyle name="60% - Акцент1 7" xfId="171"/>
    <cellStyle name="60% - Акцент1 8" xfId="172"/>
    <cellStyle name="60% - Акцент1 9" xfId="173"/>
    <cellStyle name="60% - Акцент2 10" xfId="174"/>
    <cellStyle name="60% - Акцент2 2" xfId="175"/>
    <cellStyle name="60% - Акцент2 2 2" xfId="692"/>
    <cellStyle name="60% - Акцент2 2 3" xfId="693"/>
    <cellStyle name="60% - Акцент2 2 4" xfId="694"/>
    <cellStyle name="60% - Акцент2 2 5" xfId="695"/>
    <cellStyle name="60% - Акцент2 2 6" xfId="696"/>
    <cellStyle name="60% - Акцент2 3" xfId="176"/>
    <cellStyle name="60% - Акцент2 4" xfId="177"/>
    <cellStyle name="60% - Акцент2 5" xfId="178"/>
    <cellStyle name="60% - Акцент2 6" xfId="179"/>
    <cellStyle name="60% - Акцент2 7" xfId="180"/>
    <cellStyle name="60% - Акцент2 8" xfId="181"/>
    <cellStyle name="60% - Акцент2 9" xfId="182"/>
    <cellStyle name="60% - Акцент3 10" xfId="183"/>
    <cellStyle name="60% - Акцент3 2" xfId="184"/>
    <cellStyle name="60% - Акцент3 2 2" xfId="697"/>
    <cellStyle name="60% - Акцент3 2 3" xfId="698"/>
    <cellStyle name="60% - Акцент3 2 4" xfId="699"/>
    <cellStyle name="60% - Акцент3 2 5" xfId="700"/>
    <cellStyle name="60% - Акцент3 2 6" xfId="701"/>
    <cellStyle name="60% - Акцент3 3" xfId="185"/>
    <cellStyle name="60% - Акцент3 4" xfId="186"/>
    <cellStyle name="60% - Акцент3 5" xfId="187"/>
    <cellStyle name="60% - Акцент3 6" xfId="188"/>
    <cellStyle name="60% - Акцент3 7" xfId="189"/>
    <cellStyle name="60% - Акцент3 8" xfId="190"/>
    <cellStyle name="60% - Акцент3 9" xfId="191"/>
    <cellStyle name="60% - Акцент4 10" xfId="192"/>
    <cellStyle name="60% - Акцент4 2" xfId="193"/>
    <cellStyle name="60% - Акцент4 2 2" xfId="702"/>
    <cellStyle name="60% - Акцент4 2 3" xfId="703"/>
    <cellStyle name="60% - Акцент4 2 4" xfId="704"/>
    <cellStyle name="60% - Акцент4 2 5" xfId="705"/>
    <cellStyle name="60% - Акцент4 2 6" xfId="706"/>
    <cellStyle name="60% - Акцент4 3" xfId="194"/>
    <cellStyle name="60% - Акцент4 4" xfId="195"/>
    <cellStyle name="60% - Акцент4 5" xfId="196"/>
    <cellStyle name="60% - Акцент4 6" xfId="197"/>
    <cellStyle name="60% - Акцент4 7" xfId="198"/>
    <cellStyle name="60% - Акцент4 8" xfId="199"/>
    <cellStyle name="60% - Акцент4 9" xfId="200"/>
    <cellStyle name="60% - Акцент5 10" xfId="201"/>
    <cellStyle name="60% - Акцент5 2" xfId="202"/>
    <cellStyle name="60% - Акцент5 2 2" xfId="707"/>
    <cellStyle name="60% - Акцент5 2 3" xfId="708"/>
    <cellStyle name="60% - Акцент5 2 4" xfId="709"/>
    <cellStyle name="60% - Акцент5 2 5" xfId="710"/>
    <cellStyle name="60% - Акцент5 2 6" xfId="711"/>
    <cellStyle name="60% - Акцент5 3" xfId="203"/>
    <cellStyle name="60% - Акцент5 4" xfId="204"/>
    <cellStyle name="60% - Акцент5 5" xfId="205"/>
    <cellStyle name="60% - Акцент5 6" xfId="206"/>
    <cellStyle name="60% - Акцент5 7" xfId="207"/>
    <cellStyle name="60% - Акцент5 8" xfId="208"/>
    <cellStyle name="60% - Акцент5 9" xfId="209"/>
    <cellStyle name="60% - Акцент6 10" xfId="210"/>
    <cellStyle name="60% - Акцент6 2" xfId="211"/>
    <cellStyle name="60% - Акцент6 2 2" xfId="712"/>
    <cellStyle name="60% - Акцент6 2 3" xfId="713"/>
    <cellStyle name="60% - Акцент6 2 4" xfId="714"/>
    <cellStyle name="60% - Акцент6 2 5" xfId="715"/>
    <cellStyle name="60% - Акцент6 2 6" xfId="716"/>
    <cellStyle name="60% - Акцент6 3" xfId="212"/>
    <cellStyle name="60% - Акцент6 4" xfId="213"/>
    <cellStyle name="60% - Акцент6 5" xfId="214"/>
    <cellStyle name="60% - Акцент6 6" xfId="215"/>
    <cellStyle name="60% - Акцент6 7" xfId="216"/>
    <cellStyle name="60% - Акцент6 8" xfId="217"/>
    <cellStyle name="60% - Акцент6 9" xfId="218"/>
    <cellStyle name="Accent1" xfId="219"/>
    <cellStyle name="Accent2" xfId="220"/>
    <cellStyle name="Accent3" xfId="221"/>
    <cellStyle name="Accent4" xfId="222"/>
    <cellStyle name="Accent5" xfId="223"/>
    <cellStyle name="Accent6" xfId="224"/>
    <cellStyle name="alternate" xfId="225"/>
    <cellStyle name="Bad" xfId="226"/>
    <cellStyle name="Calculation" xfId="227"/>
    <cellStyle name="Check" xfId="228"/>
    <cellStyle name="Check Cell" xfId="229"/>
    <cellStyle name="Comma [0]" xfId="230"/>
    <cellStyle name="Comma_275, 64MB" xfId="717"/>
    <cellStyle name="Comma0" xfId="231"/>
    <cellStyle name="Comma0 2" xfId="718"/>
    <cellStyle name="Currency [0]" xfId="232"/>
    <cellStyle name="Currency [0] 2" xfId="719"/>
    <cellStyle name="Currency_275, 64MB" xfId="720"/>
    <cellStyle name="Currency0" xfId="721"/>
    <cellStyle name="Date" xfId="233"/>
    <cellStyle name="Date 2" xfId="722"/>
    <cellStyle name="Deviant" xfId="234"/>
    <cellStyle name="done" xfId="235"/>
    <cellStyle name="Dziesiêtny [0]_1" xfId="236"/>
    <cellStyle name="Dziesiêtny_1" xfId="237"/>
    <cellStyle name="Euro" xfId="238"/>
    <cellStyle name="Explanatory Text" xfId="239"/>
    <cellStyle name="Factor" xfId="240"/>
    <cellStyle name="Fixed" xfId="723"/>
    <cellStyle name="From" xfId="241"/>
    <cellStyle name="Good" xfId="242"/>
    <cellStyle name="Grey" xfId="243"/>
    <cellStyle name="Head 1" xfId="724"/>
    <cellStyle name="Header1" xfId="244"/>
    <cellStyle name="header1 2" xfId="725"/>
    <cellStyle name="Header2" xfId="245"/>
    <cellStyle name="header2 2" xfId="726"/>
    <cellStyle name="Heading 1" xfId="246"/>
    <cellStyle name="Heading 1 2" xfId="727"/>
    <cellStyle name="Heading 2" xfId="247"/>
    <cellStyle name="Heading 2 2" xfId="728"/>
    <cellStyle name="Heading 3" xfId="248"/>
    <cellStyle name="Heading 4" xfId="249"/>
    <cellStyle name="Headline I" xfId="729"/>
    <cellStyle name="Headline II" xfId="730"/>
    <cellStyle name="Headline III" xfId="731"/>
    <cellStyle name="Hyperlink_Info gathering example (hydro)" xfId="250"/>
    <cellStyle name="Iau?iue_?iardu1999a" xfId="251"/>
    <cellStyle name="Input" xfId="252"/>
    <cellStyle name="Input [yellow]" xfId="253"/>
    <cellStyle name="Linked Cell" xfId="254"/>
    <cellStyle name="Milliers [0]_Fonctions Macros XL4" xfId="732"/>
    <cellStyle name="Milliers_Fonctions Macros XL4" xfId="733"/>
    <cellStyle name="Neutral" xfId="255"/>
    <cellStyle name="Norma11l" xfId="256"/>
    <cellStyle name="Norma11l 2" xfId="734"/>
    <cellStyle name="Normal - Style1" xfId="257"/>
    <cellStyle name="Normal_! Приложение_Сбор инфо" xfId="258"/>
    <cellStyle name="Normal1" xfId="735"/>
    <cellStyle name="normální_Rozvaha - aktiva" xfId="259"/>
    <cellStyle name="Normalny_0" xfId="260"/>
    <cellStyle name="normбlnм_laroux" xfId="261"/>
    <cellStyle name="Note" xfId="262"/>
    <cellStyle name="Nun??c [0]_Ecnn1" xfId="263"/>
    <cellStyle name="Nun??c_Ecnn1" xfId="264"/>
    <cellStyle name="Ociriniaue [0]_laroux" xfId="265"/>
    <cellStyle name="Ociriniaue_laroux" xfId="266"/>
    <cellStyle name="Output" xfId="267"/>
    <cellStyle name="Percent [2]" xfId="268"/>
    <cellStyle name="Price_Body" xfId="736"/>
    <cellStyle name="S31" xfId="269"/>
    <cellStyle name="SAPBEXaggData" xfId="737"/>
    <cellStyle name="SAPBEXaggDataEmph" xfId="738"/>
    <cellStyle name="SAPBEXaggItem" xfId="739"/>
    <cellStyle name="SAPBEXaggItemX" xfId="740"/>
    <cellStyle name="SAPBEXchaText" xfId="741"/>
    <cellStyle name="SAPBEXexcBad7" xfId="742"/>
    <cellStyle name="SAPBEXexcBad8" xfId="743"/>
    <cellStyle name="SAPBEXexcBad9" xfId="744"/>
    <cellStyle name="SAPBEXexcCritical4" xfId="745"/>
    <cellStyle name="SAPBEXexcCritical5" xfId="746"/>
    <cellStyle name="SAPBEXexcCritical6" xfId="747"/>
    <cellStyle name="SAPBEXexcGood1" xfId="748"/>
    <cellStyle name="SAPBEXexcGood2" xfId="749"/>
    <cellStyle name="SAPBEXexcGood3" xfId="750"/>
    <cellStyle name="SAPBEXfilterDrill" xfId="751"/>
    <cellStyle name="SAPBEXfilterItem" xfId="752"/>
    <cellStyle name="SAPBEXfilterText" xfId="753"/>
    <cellStyle name="SAPBEXformats" xfId="754"/>
    <cellStyle name="SAPBEXheaderItem" xfId="755"/>
    <cellStyle name="SAPBEXheaderText" xfId="756"/>
    <cellStyle name="SAPBEXHLevel0" xfId="757"/>
    <cellStyle name="SAPBEXHLevel0X" xfId="758"/>
    <cellStyle name="SAPBEXHLevel1" xfId="759"/>
    <cellStyle name="SAPBEXHLevel1X" xfId="760"/>
    <cellStyle name="SAPBEXHLevel2" xfId="761"/>
    <cellStyle name="SAPBEXHLevel2X" xfId="762"/>
    <cellStyle name="SAPBEXHLevel3" xfId="763"/>
    <cellStyle name="SAPBEXHLevel3X" xfId="764"/>
    <cellStyle name="SAPBEXresData" xfId="765"/>
    <cellStyle name="SAPBEXresDataEmph" xfId="766"/>
    <cellStyle name="SAPBEXresItem" xfId="767"/>
    <cellStyle name="SAPBEXresItemX" xfId="768"/>
    <cellStyle name="SAPBEXstdData" xfId="769"/>
    <cellStyle name="SAPBEXstdDataEmph" xfId="770"/>
    <cellStyle name="SAPBEXstdItem" xfId="771"/>
    <cellStyle name="SAPBEXstdItemX" xfId="772"/>
    <cellStyle name="SAPBEXtitle" xfId="773"/>
    <cellStyle name="SAPBEXundefined" xfId="774"/>
    <cellStyle name="SEM-BPS-data" xfId="775"/>
    <cellStyle name="SEM-BPS-head" xfId="776"/>
    <cellStyle name="SEM-BPS-headdata" xfId="777"/>
    <cellStyle name="SEM-BPS-headkey" xfId="778"/>
    <cellStyle name="SEM-BPS-input-on" xfId="779"/>
    <cellStyle name="SEM-BPS-key" xfId="780"/>
    <cellStyle name="SEM-BPS-sub1" xfId="781"/>
    <cellStyle name="SEM-BPS-sub2" xfId="782"/>
    <cellStyle name="SEM-BPS-total" xfId="783"/>
    <cellStyle name="stand_bord" xfId="784"/>
    <cellStyle name="STYLE1 - Style1" xfId="270"/>
    <cellStyle name="Title" xfId="271"/>
    <cellStyle name="To" xfId="272"/>
    <cellStyle name="Total" xfId="273"/>
    <cellStyle name="Total 2" xfId="785"/>
    <cellStyle name="Währung [0]_laroux" xfId="274"/>
    <cellStyle name="Währung_laroux" xfId="275"/>
    <cellStyle name="Walutowy [0]_1" xfId="276"/>
    <cellStyle name="Walutowy_1" xfId="277"/>
    <cellStyle name="Warning Text" xfId="278"/>
    <cellStyle name="WIP" xfId="279"/>
    <cellStyle name="Zero" xfId="280"/>
    <cellStyle name="Акцент1 10" xfId="281"/>
    <cellStyle name="Акцент1 2" xfId="282"/>
    <cellStyle name="Акцент1 2 2" xfId="786"/>
    <cellStyle name="Акцент1 2 3" xfId="787"/>
    <cellStyle name="Акцент1 2 4" xfId="788"/>
    <cellStyle name="Акцент1 2 5" xfId="789"/>
    <cellStyle name="Акцент1 2 6" xfId="790"/>
    <cellStyle name="Акцент1 3" xfId="283"/>
    <cellStyle name="Акцент1 4" xfId="284"/>
    <cellStyle name="Акцент1 5" xfId="285"/>
    <cellStyle name="Акцент1 6" xfId="286"/>
    <cellStyle name="Акцент1 7" xfId="287"/>
    <cellStyle name="Акцент1 8" xfId="288"/>
    <cellStyle name="Акцент1 9" xfId="289"/>
    <cellStyle name="Акцент2 10" xfId="290"/>
    <cellStyle name="Акцент2 2" xfId="291"/>
    <cellStyle name="Акцент2 2 2" xfId="791"/>
    <cellStyle name="Акцент2 2 3" xfId="792"/>
    <cellStyle name="Акцент2 2 4" xfId="793"/>
    <cellStyle name="Акцент2 2 5" xfId="794"/>
    <cellStyle name="Акцент2 2 6" xfId="795"/>
    <cellStyle name="Акцент2 3" xfId="292"/>
    <cellStyle name="Акцент2 4" xfId="293"/>
    <cellStyle name="Акцент2 5" xfId="294"/>
    <cellStyle name="Акцент2 6" xfId="295"/>
    <cellStyle name="Акцент2 7" xfId="296"/>
    <cellStyle name="Акцент2 8" xfId="297"/>
    <cellStyle name="Акцент2 9" xfId="298"/>
    <cellStyle name="Акцент3 10" xfId="299"/>
    <cellStyle name="Акцент3 2" xfId="300"/>
    <cellStyle name="Акцент3 2 2" xfId="796"/>
    <cellStyle name="Акцент3 2 3" xfId="797"/>
    <cellStyle name="Акцент3 2 4" xfId="798"/>
    <cellStyle name="Акцент3 2 5" xfId="799"/>
    <cellStyle name="Акцент3 2 6" xfId="800"/>
    <cellStyle name="Акцент3 3" xfId="301"/>
    <cellStyle name="Акцент3 4" xfId="302"/>
    <cellStyle name="Акцент3 5" xfId="303"/>
    <cellStyle name="Акцент3 6" xfId="304"/>
    <cellStyle name="Акцент3 7" xfId="305"/>
    <cellStyle name="Акцент3 8" xfId="306"/>
    <cellStyle name="Акцент3 9" xfId="307"/>
    <cellStyle name="Акцент4 10" xfId="308"/>
    <cellStyle name="Акцент4 2" xfId="309"/>
    <cellStyle name="Акцент4 2 2" xfId="801"/>
    <cellStyle name="Акцент4 2 3" xfId="802"/>
    <cellStyle name="Акцент4 2 4" xfId="803"/>
    <cellStyle name="Акцент4 2 5" xfId="804"/>
    <cellStyle name="Акцент4 2 6" xfId="805"/>
    <cellStyle name="Акцент4 3" xfId="310"/>
    <cellStyle name="Акцент4 4" xfId="311"/>
    <cellStyle name="Акцент4 5" xfId="312"/>
    <cellStyle name="Акцент4 6" xfId="313"/>
    <cellStyle name="Акцент4 7" xfId="314"/>
    <cellStyle name="Акцент4 8" xfId="315"/>
    <cellStyle name="Акцент4 9" xfId="316"/>
    <cellStyle name="Акцент5 10" xfId="317"/>
    <cellStyle name="Акцент5 2" xfId="318"/>
    <cellStyle name="Акцент5 2 2" xfId="806"/>
    <cellStyle name="Акцент5 2 3" xfId="807"/>
    <cellStyle name="Акцент5 2 4" xfId="808"/>
    <cellStyle name="Акцент5 2 5" xfId="809"/>
    <cellStyle name="Акцент5 2 6" xfId="810"/>
    <cellStyle name="Акцент5 3" xfId="319"/>
    <cellStyle name="Акцент5 4" xfId="320"/>
    <cellStyle name="Акцент5 5" xfId="321"/>
    <cellStyle name="Акцент5 6" xfId="322"/>
    <cellStyle name="Акцент5 7" xfId="323"/>
    <cellStyle name="Акцент5 8" xfId="324"/>
    <cellStyle name="Акцент5 9" xfId="325"/>
    <cellStyle name="Акцент6 10" xfId="326"/>
    <cellStyle name="Акцент6 2" xfId="327"/>
    <cellStyle name="Акцент6 2 2" xfId="811"/>
    <cellStyle name="Акцент6 2 3" xfId="812"/>
    <cellStyle name="Акцент6 2 4" xfId="813"/>
    <cellStyle name="Акцент6 2 5" xfId="814"/>
    <cellStyle name="Акцент6 2 6" xfId="815"/>
    <cellStyle name="Акцент6 3" xfId="328"/>
    <cellStyle name="Акцент6 4" xfId="329"/>
    <cellStyle name="Акцент6 5" xfId="330"/>
    <cellStyle name="Акцент6 6" xfId="331"/>
    <cellStyle name="Акцент6 7" xfId="332"/>
    <cellStyle name="Акцент6 8" xfId="333"/>
    <cellStyle name="Акцент6 9" xfId="334"/>
    <cellStyle name="Беззащитный" xfId="335"/>
    <cellStyle name="Ввод  10" xfId="336"/>
    <cellStyle name="Ввод  2" xfId="337"/>
    <cellStyle name="Ввод  2 2" xfId="816"/>
    <cellStyle name="Ввод  2 3" xfId="817"/>
    <cellStyle name="Ввод  2 4" xfId="818"/>
    <cellStyle name="Ввод  2 5" xfId="819"/>
    <cellStyle name="Ввод  2 6" xfId="820"/>
    <cellStyle name="Ввод  3" xfId="338"/>
    <cellStyle name="Ввод  4" xfId="339"/>
    <cellStyle name="Ввод  5" xfId="340"/>
    <cellStyle name="Ввод  6" xfId="341"/>
    <cellStyle name="Ввод  7" xfId="342"/>
    <cellStyle name="Ввод  8" xfId="343"/>
    <cellStyle name="Ввод  9" xfId="344"/>
    <cellStyle name="Вывод 10" xfId="345"/>
    <cellStyle name="Вывод 2" xfId="346"/>
    <cellStyle name="Вывод 2 2" xfId="821"/>
    <cellStyle name="Вывод 2 3" xfId="822"/>
    <cellStyle name="Вывод 2 4" xfId="823"/>
    <cellStyle name="Вывод 2 5" xfId="824"/>
    <cellStyle name="Вывод 2 6" xfId="825"/>
    <cellStyle name="Вывод 3" xfId="347"/>
    <cellStyle name="Вывод 4" xfId="348"/>
    <cellStyle name="Вывод 5" xfId="349"/>
    <cellStyle name="Вывод 6" xfId="350"/>
    <cellStyle name="Вывод 7" xfId="351"/>
    <cellStyle name="Вывод 8" xfId="352"/>
    <cellStyle name="Вывод 9" xfId="353"/>
    <cellStyle name="Вычисление 10" xfId="354"/>
    <cellStyle name="Вычисление 2" xfId="355"/>
    <cellStyle name="Вычисление 2 2" xfId="826"/>
    <cellStyle name="Вычисление 2 3" xfId="827"/>
    <cellStyle name="Вычисление 2 4" xfId="828"/>
    <cellStyle name="Вычисление 2 5" xfId="829"/>
    <cellStyle name="Вычисление 2 6" xfId="830"/>
    <cellStyle name="Вычисление 3" xfId="356"/>
    <cellStyle name="Вычисление 4" xfId="357"/>
    <cellStyle name="Вычисление 5" xfId="358"/>
    <cellStyle name="Вычисление 6" xfId="359"/>
    <cellStyle name="Вычисление 7" xfId="360"/>
    <cellStyle name="Вычисление 8" xfId="361"/>
    <cellStyle name="Вычисление 9" xfId="362"/>
    <cellStyle name="Денежный 2" xfId="363"/>
    <cellStyle name="Денежный 3" xfId="364"/>
    <cellStyle name="Денежный 4" xfId="365"/>
    <cellStyle name="Заголовок" xfId="831"/>
    <cellStyle name="Заголовок 1 10" xfId="366"/>
    <cellStyle name="Заголовок 1 2" xfId="367"/>
    <cellStyle name="Заголовок 1 2 2" xfId="832"/>
    <cellStyle name="Заголовок 1 2 3" xfId="833"/>
    <cellStyle name="Заголовок 1 2 4" xfId="834"/>
    <cellStyle name="Заголовок 1 2 5" xfId="835"/>
    <cellStyle name="Заголовок 1 3" xfId="368"/>
    <cellStyle name="Заголовок 1 4" xfId="369"/>
    <cellStyle name="Заголовок 1 5" xfId="370"/>
    <cellStyle name="Заголовок 1 6" xfId="371"/>
    <cellStyle name="Заголовок 1 7" xfId="372"/>
    <cellStyle name="Заголовок 1 8" xfId="373"/>
    <cellStyle name="Заголовок 1 9" xfId="374"/>
    <cellStyle name="Заголовок 2 10" xfId="375"/>
    <cellStyle name="Заголовок 2 2" xfId="376"/>
    <cellStyle name="Заголовок 2 2 2" xfId="836"/>
    <cellStyle name="Заголовок 2 2 3" xfId="837"/>
    <cellStyle name="Заголовок 2 2 4" xfId="838"/>
    <cellStyle name="Заголовок 2 2 5" xfId="839"/>
    <cellStyle name="Заголовок 2 3" xfId="377"/>
    <cellStyle name="Заголовок 2 4" xfId="378"/>
    <cellStyle name="Заголовок 2 5" xfId="379"/>
    <cellStyle name="Заголовок 2 6" xfId="380"/>
    <cellStyle name="Заголовок 2 7" xfId="381"/>
    <cellStyle name="Заголовок 2 8" xfId="382"/>
    <cellStyle name="Заголовок 2 9" xfId="383"/>
    <cellStyle name="Заголовок 3 10" xfId="384"/>
    <cellStyle name="Заголовок 3 2" xfId="385"/>
    <cellStyle name="Заголовок 3 2 2" xfId="840"/>
    <cellStyle name="Заголовок 3 2 3" xfId="841"/>
    <cellStyle name="Заголовок 3 2 4" xfId="842"/>
    <cellStyle name="Заголовок 3 2 5" xfId="843"/>
    <cellStyle name="Заголовок 3 3" xfId="386"/>
    <cellStyle name="Заголовок 3 4" xfId="387"/>
    <cellStyle name="Заголовок 3 5" xfId="388"/>
    <cellStyle name="Заголовок 3 6" xfId="389"/>
    <cellStyle name="Заголовок 3 7" xfId="390"/>
    <cellStyle name="Заголовок 3 8" xfId="391"/>
    <cellStyle name="Заголовок 3 9" xfId="392"/>
    <cellStyle name="Заголовок 4 10" xfId="393"/>
    <cellStyle name="Заголовок 4 2" xfId="394"/>
    <cellStyle name="Заголовок 4 2 2" xfId="844"/>
    <cellStyle name="Заголовок 4 2 3" xfId="845"/>
    <cellStyle name="Заголовок 4 2 4" xfId="846"/>
    <cellStyle name="Заголовок 4 2 5" xfId="847"/>
    <cellStyle name="Заголовок 4 3" xfId="395"/>
    <cellStyle name="Заголовок 4 4" xfId="396"/>
    <cellStyle name="Заголовок 4 5" xfId="397"/>
    <cellStyle name="Заголовок 4 6" xfId="398"/>
    <cellStyle name="Заголовок 4 7" xfId="399"/>
    <cellStyle name="Заголовок 4 8" xfId="400"/>
    <cellStyle name="Заголовок 4 9" xfId="401"/>
    <cellStyle name="ЗаголовокСтолбца" xfId="402"/>
    <cellStyle name="Защитный" xfId="403"/>
    <cellStyle name="Значение" xfId="848"/>
    <cellStyle name="Итог 10" xfId="404"/>
    <cellStyle name="Итог 2" xfId="405"/>
    <cellStyle name="Итог 2 2" xfId="849"/>
    <cellStyle name="Итог 2 3" xfId="850"/>
    <cellStyle name="Итог 2 4" xfId="851"/>
    <cellStyle name="Итог 2 5" xfId="852"/>
    <cellStyle name="Итог 3" xfId="406"/>
    <cellStyle name="Итог 4" xfId="407"/>
    <cellStyle name="Итог 5" xfId="408"/>
    <cellStyle name="Итог 6" xfId="409"/>
    <cellStyle name="Итог 7" xfId="410"/>
    <cellStyle name="Итог 8" xfId="411"/>
    <cellStyle name="Итог 9" xfId="412"/>
    <cellStyle name="Контрольная ячейка 10" xfId="413"/>
    <cellStyle name="Контрольная ячейка 2" xfId="414"/>
    <cellStyle name="Контрольная ячейка 2 2" xfId="853"/>
    <cellStyle name="Контрольная ячейка 2 3" xfId="854"/>
    <cellStyle name="Контрольная ячейка 2 4" xfId="855"/>
    <cellStyle name="Контрольная ячейка 2 5" xfId="856"/>
    <cellStyle name="Контрольная ячейка 2 6" xfId="857"/>
    <cellStyle name="Контрольная ячейка 3" xfId="415"/>
    <cellStyle name="Контрольная ячейка 4" xfId="416"/>
    <cellStyle name="Контрольная ячейка 5" xfId="417"/>
    <cellStyle name="Контрольная ячейка 6" xfId="418"/>
    <cellStyle name="Контрольная ячейка 7" xfId="419"/>
    <cellStyle name="Контрольная ячейка 8" xfId="420"/>
    <cellStyle name="Контрольная ячейка 9" xfId="421"/>
    <cellStyle name="Мой заголовок" xfId="858"/>
    <cellStyle name="Мой заголовок листа" xfId="859"/>
    <cellStyle name="Мои наименования показателей" xfId="860"/>
    <cellStyle name="Мои наименования показателей 2" xfId="861"/>
    <cellStyle name="Название 10" xfId="422"/>
    <cellStyle name="Название 2" xfId="423"/>
    <cellStyle name="Название 2 2" xfId="862"/>
    <cellStyle name="Название 2 3" xfId="863"/>
    <cellStyle name="Название 2 4" xfId="864"/>
    <cellStyle name="Название 2 5" xfId="865"/>
    <cellStyle name="Название 3" xfId="424"/>
    <cellStyle name="Название 4" xfId="425"/>
    <cellStyle name="Название 5" xfId="426"/>
    <cellStyle name="Название 6" xfId="427"/>
    <cellStyle name="Название 7" xfId="428"/>
    <cellStyle name="Название 8" xfId="429"/>
    <cellStyle name="Название 9" xfId="430"/>
    <cellStyle name="Нейтральный 10" xfId="431"/>
    <cellStyle name="Нейтральный 2" xfId="432"/>
    <cellStyle name="Нейтральный 2 2" xfId="866"/>
    <cellStyle name="Нейтральный 2 3" xfId="867"/>
    <cellStyle name="Нейтральный 2 4" xfId="868"/>
    <cellStyle name="Нейтральный 2 5" xfId="869"/>
    <cellStyle name="Нейтральный 2 6" xfId="870"/>
    <cellStyle name="Нейтральный 3" xfId="433"/>
    <cellStyle name="Нейтральный 4" xfId="434"/>
    <cellStyle name="Нейтральный 5" xfId="435"/>
    <cellStyle name="Нейтральный 6" xfId="436"/>
    <cellStyle name="Нейтральный 7" xfId="437"/>
    <cellStyle name="Нейтральный 8" xfId="438"/>
    <cellStyle name="Нейтральный 9" xfId="439"/>
    <cellStyle name="Обычный" xfId="0" builtinId="0"/>
    <cellStyle name="Обычный 10" xfId="440"/>
    <cellStyle name="Обычный 10 2" xfId="441"/>
    <cellStyle name="Обычный 10 2 2" xfId="442"/>
    <cellStyle name="Обычный 10 3" xfId="443"/>
    <cellStyle name="Обычный 10 4" xfId="871"/>
    <cellStyle name="Обычный 11" xfId="444"/>
    <cellStyle name="Обычный 11 2" xfId="445"/>
    <cellStyle name="Обычный 11 2 2" xfId="446"/>
    <cellStyle name="Обычный 11 3" xfId="447"/>
    <cellStyle name="Обычный 11 4" xfId="872"/>
    <cellStyle name="Обычный 110" xfId="873"/>
    <cellStyle name="Обычный 12" xfId="874"/>
    <cellStyle name="Обычный 12 2" xfId="448"/>
    <cellStyle name="Обычный 13" xfId="449"/>
    <cellStyle name="Обычный 13 2" xfId="875"/>
    <cellStyle name="Обычный 13 3" xfId="876"/>
    <cellStyle name="Обычный 14" xfId="877"/>
    <cellStyle name="Обычный 15" xfId="878"/>
    <cellStyle name="Обычный 16" xfId="450"/>
    <cellStyle name="Обычный 16 2" xfId="879"/>
    <cellStyle name="Обычный 16 3" xfId="880"/>
    <cellStyle name="Обычный 17" xfId="881"/>
    <cellStyle name="Обычный 18" xfId="882"/>
    <cellStyle name="Обычный 19" xfId="883"/>
    <cellStyle name="Обычный 2" xfId="1"/>
    <cellStyle name="Обычный 2 10" xfId="451"/>
    <cellStyle name="Обычный 2 10 2" xfId="884"/>
    <cellStyle name="Обычный 2 11" xfId="452"/>
    <cellStyle name="Обычный 2 12" xfId="453"/>
    <cellStyle name="Обычный 2 2" xfId="454"/>
    <cellStyle name="Обычный 2 2 2" xfId="885"/>
    <cellStyle name="Обычный 2 2 3" xfId="886"/>
    <cellStyle name="Обычный 2 3" xfId="455"/>
    <cellStyle name="Обычный 2 4" xfId="456"/>
    <cellStyle name="Обычный 2 4 2" xfId="887"/>
    <cellStyle name="Обычный 2 5" xfId="457"/>
    <cellStyle name="Обычный 2 5 2" xfId="888"/>
    <cellStyle name="Обычный 2 6" xfId="458"/>
    <cellStyle name="Обычный 2 6 2" xfId="889"/>
    <cellStyle name="Обычный 2 7" xfId="459"/>
    <cellStyle name="Обычный 2 7 2" xfId="890"/>
    <cellStyle name="Обычный 2 8" xfId="460"/>
    <cellStyle name="Обычный 2 8 2" xfId="891"/>
    <cellStyle name="Обычный 2 9" xfId="461"/>
    <cellStyle name="Обычный 2 9 2" xfId="892"/>
    <cellStyle name="Обычный 20" xfId="893"/>
    <cellStyle name="Обычный 21" xfId="894"/>
    <cellStyle name="Обычный 22" xfId="895"/>
    <cellStyle name="Обычный 23" xfId="462"/>
    <cellStyle name="Обычный 24" xfId="896"/>
    <cellStyle name="Обычный 25" xfId="897"/>
    <cellStyle name="Обычный 3" xfId="463"/>
    <cellStyle name="Обычный 3 10" xfId="464"/>
    <cellStyle name="Обычный 3 11" xfId="898"/>
    <cellStyle name="Обычный 3 2" xfId="465"/>
    <cellStyle name="Обычный 3 2 2" xfId="466"/>
    <cellStyle name="Обычный 3 2 2 2" xfId="467"/>
    <cellStyle name="Обычный 3 2 3" xfId="468"/>
    <cellStyle name="Обычный 3 2 4" xfId="899"/>
    <cellStyle name="Обычный 3 3" xfId="469"/>
    <cellStyle name="Обычный 3 3 2" xfId="470"/>
    <cellStyle name="Обычный 3 4" xfId="471"/>
    <cellStyle name="Обычный 3 5" xfId="472"/>
    <cellStyle name="Обычный 3 6" xfId="473"/>
    <cellStyle name="Обычный 3 7" xfId="474"/>
    <cellStyle name="Обычный 3 8" xfId="475"/>
    <cellStyle name="Обычный 3 9" xfId="476"/>
    <cellStyle name="Обычный 34" xfId="477"/>
    <cellStyle name="Обычный 4" xfId="478"/>
    <cellStyle name="Обычный 4 10" xfId="479"/>
    <cellStyle name="Обычный 4 2" xfId="480"/>
    <cellStyle name="Обычный 4 2 2" xfId="481"/>
    <cellStyle name="Обычный 4 3" xfId="482"/>
    <cellStyle name="Обычный 4 4" xfId="483"/>
    <cellStyle name="Обычный 4 5" xfId="484"/>
    <cellStyle name="Обычный 4 6" xfId="485"/>
    <cellStyle name="Обычный 4 7" xfId="486"/>
    <cellStyle name="Обычный 4 8" xfId="487"/>
    <cellStyle name="Обычный 4 9" xfId="488"/>
    <cellStyle name="Обычный 5" xfId="489"/>
    <cellStyle name="Обычный 5 2" xfId="490"/>
    <cellStyle name="Обычный 5 2 2" xfId="900"/>
    <cellStyle name="Обычный 5 2 3" xfId="901"/>
    <cellStyle name="Обычный 5 2 4" xfId="902"/>
    <cellStyle name="Обычный 5 2 5" xfId="903"/>
    <cellStyle name="Обычный 5 2 6" xfId="904"/>
    <cellStyle name="Обычный 5 3" xfId="905"/>
    <cellStyle name="Обычный 5 4" xfId="906"/>
    <cellStyle name="Обычный 5 5" xfId="907"/>
    <cellStyle name="Обычный 5 6" xfId="908"/>
    <cellStyle name="Обычный 6" xfId="491"/>
    <cellStyle name="Обычный 6 2" xfId="909"/>
    <cellStyle name="Обычный 7" xfId="492"/>
    <cellStyle name="Обычный 7 2" xfId="910"/>
    <cellStyle name="Обычный 8" xfId="493"/>
    <cellStyle name="Обычный 8 2" xfId="911"/>
    <cellStyle name="Обычный 9" xfId="494"/>
    <cellStyle name="Обычный 9 2" xfId="912"/>
    <cellStyle name="Плохой 10" xfId="495"/>
    <cellStyle name="Плохой 2" xfId="496"/>
    <cellStyle name="Плохой 2 2" xfId="913"/>
    <cellStyle name="Плохой 2 3" xfId="914"/>
    <cellStyle name="Плохой 2 4" xfId="915"/>
    <cellStyle name="Плохой 2 5" xfId="916"/>
    <cellStyle name="Плохой 2 6" xfId="917"/>
    <cellStyle name="Плохой 3" xfId="497"/>
    <cellStyle name="Плохой 4" xfId="498"/>
    <cellStyle name="Плохой 5" xfId="499"/>
    <cellStyle name="Плохой 6" xfId="500"/>
    <cellStyle name="Плохой 7" xfId="501"/>
    <cellStyle name="Плохой 8" xfId="502"/>
    <cellStyle name="Плохой 9" xfId="503"/>
    <cellStyle name="Поле ввода" xfId="918"/>
    <cellStyle name="Пояснение 10" xfId="504"/>
    <cellStyle name="Пояснение 2" xfId="505"/>
    <cellStyle name="Пояснение 2 2" xfId="919"/>
    <cellStyle name="Пояснение 2 3" xfId="920"/>
    <cellStyle name="Пояснение 2 4" xfId="921"/>
    <cellStyle name="Пояснение 2 5" xfId="922"/>
    <cellStyle name="Пояснение 3" xfId="506"/>
    <cellStyle name="Пояснение 4" xfId="507"/>
    <cellStyle name="Пояснение 5" xfId="508"/>
    <cellStyle name="Пояснение 6" xfId="509"/>
    <cellStyle name="Пояснение 7" xfId="510"/>
    <cellStyle name="Пояснение 8" xfId="511"/>
    <cellStyle name="Пояснение 9" xfId="512"/>
    <cellStyle name="Примечание 10" xfId="513"/>
    <cellStyle name="Примечание 2" xfId="514"/>
    <cellStyle name="Примечание 2 2" xfId="923"/>
    <cellStyle name="Примечание 2 3" xfId="924"/>
    <cellStyle name="Примечание 2 4" xfId="925"/>
    <cellStyle name="Примечание 2 5" xfId="926"/>
    <cellStyle name="Примечание 2 6" xfId="927"/>
    <cellStyle name="Примечание 3" xfId="515"/>
    <cellStyle name="Примечание 4" xfId="516"/>
    <cellStyle name="Примечание 5" xfId="517"/>
    <cellStyle name="Примечание 6" xfId="518"/>
    <cellStyle name="Примечание 7" xfId="519"/>
    <cellStyle name="Примечание 8" xfId="520"/>
    <cellStyle name="Примечание 9" xfId="521"/>
    <cellStyle name="Процентный 2" xfId="522"/>
    <cellStyle name="Процентный 2 10" xfId="523"/>
    <cellStyle name="Процентный 2 11" xfId="524"/>
    <cellStyle name="Процентный 2 2" xfId="525"/>
    <cellStyle name="Процентный 2 3" xfId="526"/>
    <cellStyle name="Процентный 2 3 2" xfId="928"/>
    <cellStyle name="Процентный 2 4" xfId="527"/>
    <cellStyle name="Процентный 2 4 2" xfId="929"/>
    <cellStyle name="Процентный 2 5" xfId="528"/>
    <cellStyle name="Процентный 2 5 2" xfId="930"/>
    <cellStyle name="Процентный 2 6" xfId="529"/>
    <cellStyle name="Процентный 2 6 2" xfId="931"/>
    <cellStyle name="Процентный 2 7" xfId="530"/>
    <cellStyle name="Процентный 2 7 2" xfId="932"/>
    <cellStyle name="Процентный 2 8" xfId="531"/>
    <cellStyle name="Процентный 2 8 2" xfId="933"/>
    <cellStyle name="Процентный 2 9" xfId="532"/>
    <cellStyle name="Процентный 2 9 2" xfId="934"/>
    <cellStyle name="Процентный 3" xfId="935"/>
    <cellStyle name="Процентный 3 2" xfId="533"/>
    <cellStyle name="Процентный 4" xfId="936"/>
    <cellStyle name="Процентный 4 2" xfId="534"/>
    <cellStyle name="Связанная ячейка 10" xfId="535"/>
    <cellStyle name="Связанная ячейка 2" xfId="536"/>
    <cellStyle name="Связанная ячейка 2 2" xfId="937"/>
    <cellStyle name="Связанная ячейка 2 3" xfId="938"/>
    <cellStyle name="Связанная ячейка 2 4" xfId="939"/>
    <cellStyle name="Связанная ячейка 2 5" xfId="940"/>
    <cellStyle name="Связанная ячейка 3" xfId="537"/>
    <cellStyle name="Связанная ячейка 4" xfId="538"/>
    <cellStyle name="Связанная ячейка 5" xfId="539"/>
    <cellStyle name="Связанная ячейка 6" xfId="540"/>
    <cellStyle name="Связанная ячейка 7" xfId="541"/>
    <cellStyle name="Связанная ячейка 8" xfId="542"/>
    <cellStyle name="Связанная ячейка 9" xfId="543"/>
    <cellStyle name="смр" xfId="544"/>
    <cellStyle name="Стиль 1" xfId="545"/>
    <cellStyle name="Стиль 1 10" xfId="546"/>
    <cellStyle name="Стиль 1 11" xfId="547"/>
    <cellStyle name="Стиль 1 2" xfId="548"/>
    <cellStyle name="Стиль 1 2 10" xfId="941"/>
    <cellStyle name="Стиль 1 2 2" xfId="549"/>
    <cellStyle name="Стиль 1 2 2 2" xfId="550"/>
    <cellStyle name="Стиль 1 2 3" xfId="551"/>
    <cellStyle name="Стиль 1 2 4" xfId="552"/>
    <cellStyle name="Стиль 1 2 5" xfId="553"/>
    <cellStyle name="Стиль 1 2 6" xfId="554"/>
    <cellStyle name="Стиль 1 2 7" xfId="555"/>
    <cellStyle name="Стиль 1 2 8" xfId="556"/>
    <cellStyle name="Стиль 1 2 9" xfId="557"/>
    <cellStyle name="Стиль 1 3" xfId="558"/>
    <cellStyle name="Стиль 1 3 2" xfId="942"/>
    <cellStyle name="Стиль 1 4" xfId="559"/>
    <cellStyle name="Стиль 1 5" xfId="560"/>
    <cellStyle name="Стиль 1 6" xfId="561"/>
    <cellStyle name="Стиль 1 7" xfId="562"/>
    <cellStyle name="Стиль 1 8" xfId="563"/>
    <cellStyle name="Стиль 1 9" xfId="564"/>
    <cellStyle name="Текст" xfId="943"/>
    <cellStyle name="Текст предупреждения 10" xfId="565"/>
    <cellStyle name="Текст предупреждения 2" xfId="566"/>
    <cellStyle name="Текст предупреждения 2 2" xfId="944"/>
    <cellStyle name="Текст предупреждения 2 3" xfId="945"/>
    <cellStyle name="Текст предупреждения 2 4" xfId="946"/>
    <cellStyle name="Текст предупреждения 2 5" xfId="947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70"/>
    <cellStyle name="Текст предупреждения 7" xfId="571"/>
    <cellStyle name="Текст предупреждения 8" xfId="572"/>
    <cellStyle name="Текст предупреждения 9" xfId="573"/>
    <cellStyle name="Текстовый" xfId="948"/>
    <cellStyle name="Тысячи [0]_01.01.98" xfId="574"/>
    <cellStyle name="Тысячи_01.01.98" xfId="575"/>
    <cellStyle name="Финансовый 2" xfId="576"/>
    <cellStyle name="Финансовый 2 10" xfId="577"/>
    <cellStyle name="Финансовый 2 11" xfId="578"/>
    <cellStyle name="Финансовый 2 2" xfId="579"/>
    <cellStyle name="Финансовый 2 2 2" xfId="949"/>
    <cellStyle name="Финансовый 2 2 3" xfId="950"/>
    <cellStyle name="Финансовый 2 3" xfId="580"/>
    <cellStyle name="Финансовый 2 4" xfId="581"/>
    <cellStyle name="Финансовый 2 5" xfId="582"/>
    <cellStyle name="Финансовый 2 6" xfId="583"/>
    <cellStyle name="Финансовый 2 7" xfId="584"/>
    <cellStyle name="Финансовый 2 8" xfId="585"/>
    <cellStyle name="Финансовый 2 9" xfId="586"/>
    <cellStyle name="Финансовый 3" xfId="951"/>
    <cellStyle name="Финансовый 3 2" xfId="587"/>
    <cellStyle name="Финансовый 4" xfId="588"/>
    <cellStyle name="Финансовый 5 2" xfId="589"/>
    <cellStyle name="Формула" xfId="952"/>
    <cellStyle name="ФормулаВБ" xfId="953"/>
    <cellStyle name="ФормулаНаКонтроль" xfId="954"/>
    <cellStyle name="Хороший 10" xfId="590"/>
    <cellStyle name="Хороший 2" xfId="591"/>
    <cellStyle name="Хороший 2 2" xfId="955"/>
    <cellStyle name="Хороший 2 3" xfId="956"/>
    <cellStyle name="Хороший 2 4" xfId="957"/>
    <cellStyle name="Хороший 2 5" xfId="958"/>
    <cellStyle name="Хороший 2 6" xfId="959"/>
    <cellStyle name="Хороший 3" xfId="592"/>
    <cellStyle name="Хороший 4" xfId="593"/>
    <cellStyle name="Хороший 5" xfId="594"/>
    <cellStyle name="Хороший 6" xfId="595"/>
    <cellStyle name="Хороший 7" xfId="596"/>
    <cellStyle name="Хороший 8" xfId="597"/>
    <cellStyle name="Хороший 9" xfId="598"/>
    <cellStyle name="Џђћ–…ќ’ќ›‰" xfId="960"/>
  </cellStyles>
  <dxfs count="0"/>
  <tableStyles count="0" defaultTableStyle="TableStyleMedium2" defaultPivotStyle="PivotStyleLight16"/>
  <colors>
    <mruColors>
      <color rgb="FFCCFFCC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3:R60"/>
  <sheetViews>
    <sheetView view="pageBreakPreview" topLeftCell="A28" zoomScale="80" zoomScaleNormal="100" zoomScaleSheetLayoutView="80" workbookViewId="0">
      <selection activeCell="K64" sqref="K64"/>
    </sheetView>
  </sheetViews>
  <sheetFormatPr defaultRowHeight="12"/>
  <cols>
    <col min="1" max="1" width="4.140625" style="16" customWidth="1"/>
    <col min="2" max="2" width="7" style="17" customWidth="1"/>
    <col min="3" max="3" width="46.28515625" style="17" customWidth="1"/>
    <col min="4" max="4" width="15.28515625" style="17" bestFit="1" customWidth="1"/>
    <col min="5" max="5" width="12.85546875" style="17" customWidth="1"/>
    <col min="6" max="6" width="12.7109375" style="17" customWidth="1"/>
    <col min="7" max="8" width="12.85546875" style="17" customWidth="1"/>
    <col min="9" max="9" width="13.7109375" style="17" customWidth="1"/>
    <col min="10" max="10" width="13.28515625" style="17" customWidth="1"/>
    <col min="11" max="11" width="12.5703125" style="17" customWidth="1"/>
    <col min="12" max="12" width="13.42578125" style="17" customWidth="1"/>
    <col min="13" max="13" width="11.7109375" style="17" customWidth="1"/>
    <col min="14" max="14" width="18.85546875" style="17" customWidth="1"/>
    <col min="15" max="15" width="6.28515625" style="17" customWidth="1"/>
    <col min="16" max="16" width="7.7109375" style="17" customWidth="1"/>
    <col min="17" max="18" width="7.85546875" style="17" customWidth="1"/>
    <col min="19" max="16384" width="9.140625" style="17"/>
  </cols>
  <sheetData>
    <row r="3" spans="1:15">
      <c r="F3" s="18"/>
      <c r="I3" s="18"/>
      <c r="L3" s="18" t="s">
        <v>14</v>
      </c>
    </row>
    <row r="4" spans="1:15">
      <c r="B4" s="19" t="s">
        <v>52</v>
      </c>
    </row>
    <row r="5" spans="1:15">
      <c r="B5" s="20" t="s">
        <v>8</v>
      </c>
    </row>
    <row r="6" spans="1:15">
      <c r="B6" s="20"/>
    </row>
    <row r="7" spans="1:15" ht="15">
      <c r="B7" s="21" t="s">
        <v>217</v>
      </c>
    </row>
    <row r="9" spans="1:15" ht="24" customHeight="1">
      <c r="A9" s="22" t="s">
        <v>0</v>
      </c>
      <c r="B9" s="221" t="s">
        <v>1</v>
      </c>
      <c r="C9" s="221" t="s">
        <v>2</v>
      </c>
      <c r="D9" s="222" t="s">
        <v>41</v>
      </c>
      <c r="E9" s="216"/>
      <c r="F9" s="217"/>
      <c r="G9" s="215" t="s">
        <v>42</v>
      </c>
      <c r="H9" s="216"/>
      <c r="I9" s="217"/>
      <c r="J9" s="216" t="s">
        <v>43</v>
      </c>
      <c r="K9" s="216"/>
      <c r="L9" s="218"/>
    </row>
    <row r="10" spans="1:15" ht="74.25" customHeight="1">
      <c r="B10" s="221"/>
      <c r="C10" s="221"/>
      <c r="D10" s="24" t="s">
        <v>9</v>
      </c>
      <c r="E10" s="24" t="s">
        <v>11</v>
      </c>
      <c r="F10" s="52" t="s">
        <v>17</v>
      </c>
      <c r="G10" s="62" t="s">
        <v>15</v>
      </c>
      <c r="H10" s="24" t="s">
        <v>11</v>
      </c>
      <c r="I10" s="52" t="s">
        <v>16</v>
      </c>
      <c r="J10" s="23" t="s">
        <v>15</v>
      </c>
      <c r="K10" s="24" t="s">
        <v>11</v>
      </c>
      <c r="L10" s="24" t="s">
        <v>16</v>
      </c>
    </row>
    <row r="11" spans="1:15" ht="24" customHeight="1">
      <c r="B11" s="221"/>
      <c r="C11" s="221"/>
      <c r="D11" s="24" t="s">
        <v>10</v>
      </c>
      <c r="E11" s="24" t="s">
        <v>12</v>
      </c>
      <c r="F11" s="52" t="s">
        <v>13</v>
      </c>
      <c r="G11" s="62" t="s">
        <v>10</v>
      </c>
      <c r="H11" s="24" t="s">
        <v>12</v>
      </c>
      <c r="I11" s="52" t="s">
        <v>13</v>
      </c>
      <c r="J11" s="23" t="s">
        <v>10</v>
      </c>
      <c r="K11" s="24" t="s">
        <v>12</v>
      </c>
      <c r="L11" s="24" t="s">
        <v>13</v>
      </c>
    </row>
    <row r="12" spans="1:15" ht="16.5" customHeight="1">
      <c r="B12" s="25">
        <v>1</v>
      </c>
      <c r="C12" s="25">
        <v>2</v>
      </c>
      <c r="D12" s="25">
        <v>3</v>
      </c>
      <c r="E12" s="25">
        <v>4</v>
      </c>
      <c r="F12" s="53">
        <v>5</v>
      </c>
      <c r="G12" s="63">
        <v>6</v>
      </c>
      <c r="H12" s="25">
        <v>7</v>
      </c>
      <c r="I12" s="53">
        <v>8</v>
      </c>
      <c r="J12" s="51">
        <v>9</v>
      </c>
      <c r="K12" s="25">
        <v>10</v>
      </c>
      <c r="L12" s="25">
        <v>11</v>
      </c>
    </row>
    <row r="13" spans="1:15" ht="46.5" customHeight="1">
      <c r="A13" s="22"/>
      <c r="B13" s="26" t="s">
        <v>3</v>
      </c>
      <c r="C13" s="27" t="s">
        <v>20</v>
      </c>
      <c r="D13" s="28">
        <f>F13*1000/E13</f>
        <v>2430.6</v>
      </c>
      <c r="E13" s="44">
        <f>SUM(E14)</f>
        <v>15</v>
      </c>
      <c r="F13" s="54">
        <f>SUM(F14:F17)</f>
        <v>36.459000000000003</v>
      </c>
      <c r="G13" s="64">
        <f>SUM(G14:G17)</f>
        <v>495</v>
      </c>
      <c r="H13" s="44">
        <f>SUM(H14)</f>
        <v>15</v>
      </c>
      <c r="I13" s="65">
        <f>SUM(I14:I17)</f>
        <v>7.4249999999999998</v>
      </c>
      <c r="J13" s="28">
        <f>SUM(J14:J15)</f>
        <v>292.40999999999997</v>
      </c>
      <c r="K13" s="30">
        <f>SUM(K14)</f>
        <v>15</v>
      </c>
      <c r="L13" s="28">
        <f>SUM(L14:L17)</f>
        <v>8.6573999999999991</v>
      </c>
      <c r="M13" s="17" t="s">
        <v>236</v>
      </c>
      <c r="N13" s="214">
        <f>'Реестр договоров ТП 2014-2016'!L24/1000</f>
        <v>43.755000000000003</v>
      </c>
    </row>
    <row r="14" spans="1:15" ht="28.5" customHeight="1">
      <c r="A14" s="22"/>
      <c r="B14" s="24" t="s">
        <v>21</v>
      </c>
      <c r="C14" s="31" t="s">
        <v>44</v>
      </c>
      <c r="D14" s="28">
        <f>F14*1000/E14</f>
        <v>54.013333333333343</v>
      </c>
      <c r="E14" s="29">
        <v>15</v>
      </c>
      <c r="F14" s="55">
        <f>O14</f>
        <v>0.81020000000000014</v>
      </c>
      <c r="G14" s="66">
        <v>195</v>
      </c>
      <c r="H14" s="29">
        <v>15</v>
      </c>
      <c r="I14" s="56">
        <f>G14*H14/1000</f>
        <v>2.9249999999999998</v>
      </c>
      <c r="J14" s="58">
        <v>209.13</v>
      </c>
      <c r="K14" s="29">
        <f>'Факт ТП за 3 года'!K10</f>
        <v>15</v>
      </c>
      <c r="L14" s="32">
        <f>J14*K14/1000</f>
        <v>3.1369499999999997</v>
      </c>
      <c r="M14" s="17">
        <f>F14/F13</f>
        <v>2.2222222222222223E-2</v>
      </c>
      <c r="N14" s="17">
        <f>M14*$N$13</f>
        <v>0.97233333333333338</v>
      </c>
      <c r="O14" s="17">
        <v>0.81020000000000014</v>
      </c>
    </row>
    <row r="15" spans="1:15" ht="27" customHeight="1">
      <c r="A15" s="22"/>
      <c r="B15" s="24" t="s">
        <v>22</v>
      </c>
      <c r="C15" s="31" t="s">
        <v>45</v>
      </c>
      <c r="D15" s="28">
        <f t="shared" ref="D15:D17" si="0">F15*1000/E15</f>
        <v>756.18666666666672</v>
      </c>
      <c r="E15" s="29">
        <v>15</v>
      </c>
      <c r="F15" s="55">
        <f t="shared" ref="F15:F17" si="1">O15</f>
        <v>11.3428</v>
      </c>
      <c r="G15" s="66">
        <v>117</v>
      </c>
      <c r="H15" s="29">
        <v>15</v>
      </c>
      <c r="I15" s="56">
        <f t="shared" ref="I15:I17" si="2">G15*H15/1000</f>
        <v>1.7549999999999999</v>
      </c>
      <c r="J15" s="58">
        <v>83.28</v>
      </c>
      <c r="K15" s="29">
        <f>K14</f>
        <v>15</v>
      </c>
      <c r="L15" s="32">
        <f>J15*K15/1000</f>
        <v>1.2492000000000001</v>
      </c>
      <c r="M15" s="17">
        <f>F15/F13</f>
        <v>0.31111111111111112</v>
      </c>
      <c r="N15" s="17">
        <f t="shared" ref="N15:N17" si="3">M15*$N$13</f>
        <v>13.612666666666668</v>
      </c>
      <c r="O15" s="17">
        <v>11.3428</v>
      </c>
    </row>
    <row r="16" spans="1:15" ht="60" customHeight="1">
      <c r="A16" s="22"/>
      <c r="B16" s="24" t="s">
        <v>23</v>
      </c>
      <c r="C16" s="31" t="s">
        <v>46</v>
      </c>
      <c r="D16" s="28">
        <f t="shared" si="0"/>
        <v>0</v>
      </c>
      <c r="E16" s="29">
        <v>15</v>
      </c>
      <c r="F16" s="55">
        <f t="shared" si="1"/>
        <v>0</v>
      </c>
      <c r="G16" s="66">
        <v>0</v>
      </c>
      <c r="H16" s="29">
        <v>15</v>
      </c>
      <c r="I16" s="56">
        <f t="shared" si="2"/>
        <v>0</v>
      </c>
      <c r="J16" s="58"/>
      <c r="K16" s="29">
        <f>K15</f>
        <v>15</v>
      </c>
      <c r="L16" s="32">
        <f t="shared" ref="L16:L17" si="4">J16*K16/1000</f>
        <v>0</v>
      </c>
      <c r="N16" s="17">
        <f t="shared" si="3"/>
        <v>0</v>
      </c>
      <c r="O16" s="17">
        <v>0</v>
      </c>
    </row>
    <row r="17" spans="1:18" ht="72" customHeight="1">
      <c r="A17" s="22"/>
      <c r="B17" s="24" t="s">
        <v>24</v>
      </c>
      <c r="C17" s="31" t="s">
        <v>47</v>
      </c>
      <c r="D17" s="28">
        <f t="shared" si="0"/>
        <v>1620.4</v>
      </c>
      <c r="E17" s="29">
        <v>15</v>
      </c>
      <c r="F17" s="55">
        <f t="shared" si="1"/>
        <v>24.306000000000001</v>
      </c>
      <c r="G17" s="66">
        <v>183</v>
      </c>
      <c r="H17" s="29">
        <v>15</v>
      </c>
      <c r="I17" s="56">
        <f t="shared" si="2"/>
        <v>2.7450000000000001</v>
      </c>
      <c r="J17" s="58">
        <v>284.75</v>
      </c>
      <c r="K17" s="29">
        <f>K16</f>
        <v>15</v>
      </c>
      <c r="L17" s="32">
        <f t="shared" si="4"/>
        <v>4.2712500000000002</v>
      </c>
      <c r="M17" s="17">
        <f>F17/F13</f>
        <v>0.66666666666666663</v>
      </c>
      <c r="N17" s="17">
        <f t="shared" si="3"/>
        <v>29.17</v>
      </c>
      <c r="O17" s="17">
        <v>24.306000000000001</v>
      </c>
    </row>
    <row r="18" spans="1:18" ht="40.5" customHeight="1">
      <c r="A18" s="22"/>
      <c r="B18" s="26" t="s">
        <v>4</v>
      </c>
      <c r="C18" s="33" t="s">
        <v>25</v>
      </c>
      <c r="D18" s="46"/>
      <c r="E18" s="46"/>
      <c r="F18" s="56">
        <f>SUM(F20,F23,F26,F27,F35,F37,F40,F44,F43,F52)</f>
        <v>0</v>
      </c>
      <c r="G18" s="67"/>
      <c r="H18" s="46"/>
      <c r="I18" s="56">
        <f>SUM(I20,I23,I26,I27,I35)</f>
        <v>0</v>
      </c>
      <c r="J18" s="60"/>
      <c r="K18" s="46"/>
      <c r="L18" s="32">
        <v>0</v>
      </c>
    </row>
    <row r="19" spans="1:18" ht="15.75" customHeight="1">
      <c r="A19" s="22"/>
      <c r="B19" s="219" t="s">
        <v>53</v>
      </c>
      <c r="C19" s="220"/>
      <c r="D19" s="34"/>
      <c r="E19" s="34"/>
      <c r="F19" s="57"/>
      <c r="G19" s="68"/>
      <c r="H19" s="34"/>
      <c r="I19" s="57"/>
      <c r="J19" s="34"/>
      <c r="K19" s="34"/>
      <c r="L19" s="35"/>
    </row>
    <row r="20" spans="1:18">
      <c r="A20" s="22"/>
      <c r="B20" s="24" t="s">
        <v>26</v>
      </c>
      <c r="C20" s="31" t="s">
        <v>27</v>
      </c>
      <c r="D20" s="36"/>
      <c r="E20" s="44">
        <f>SUM(E21:E22)</f>
        <v>0</v>
      </c>
      <c r="F20" s="54">
        <f>SUM(F21:F22)</f>
        <v>0</v>
      </c>
      <c r="G20" s="67"/>
      <c r="H20" s="47">
        <f>H21+H22</f>
        <v>0</v>
      </c>
      <c r="I20" s="69">
        <f>SUM(I21:I22)</f>
        <v>0</v>
      </c>
      <c r="J20" s="59"/>
      <c r="K20" s="44" t="e">
        <f>SUM(K21:K22)</f>
        <v>#DIV/0!</v>
      </c>
      <c r="L20" s="47" t="e">
        <f>SUM(L21:L22)</f>
        <v>#DIV/0!</v>
      </c>
    </row>
    <row r="21" spans="1:18">
      <c r="A21" s="22"/>
      <c r="B21" s="24"/>
      <c r="C21" s="31" t="s">
        <v>48</v>
      </c>
      <c r="D21" s="28" t="e">
        <f>F21*1000/E21</f>
        <v>#DIV/0!</v>
      </c>
      <c r="E21" s="29"/>
      <c r="F21" s="55"/>
      <c r="G21" s="67">
        <v>183673.47</v>
      </c>
      <c r="H21" s="32">
        <f>E21</f>
        <v>0</v>
      </c>
      <c r="I21" s="56">
        <f>G21*H21*$O$29*$Q$29/1000</f>
        <v>0</v>
      </c>
      <c r="J21" s="58"/>
      <c r="K21" s="29" t="e">
        <f>'Факт ТП за 3 года'!D15</f>
        <v>#DIV/0!</v>
      </c>
      <c r="L21" s="32" t="e">
        <f>J21*K21*$O$38*$Q$38/1000</f>
        <v>#DIV/0!</v>
      </c>
    </row>
    <row r="22" spans="1:18">
      <c r="A22" s="22"/>
      <c r="B22" s="24"/>
      <c r="C22" s="31" t="s">
        <v>49</v>
      </c>
      <c r="D22" s="28" t="e">
        <f t="shared" ref="D22:D35" si="5">F22*1000/E22</f>
        <v>#DIV/0!</v>
      </c>
      <c r="E22" s="29"/>
      <c r="F22" s="55"/>
      <c r="G22" s="67">
        <v>236734.69</v>
      </c>
      <c r="H22" s="32">
        <f>E22</f>
        <v>0</v>
      </c>
      <c r="I22" s="56">
        <f>G22*H22*$O$29*$Q$29/1000</f>
        <v>0</v>
      </c>
      <c r="J22" s="58"/>
      <c r="K22" s="29" t="e">
        <f>'Факт ТП за 3 года'!D16</f>
        <v>#DIV/0!</v>
      </c>
      <c r="L22" s="32" t="e">
        <f>J22*K22*$O$38*$Q$38/1000</f>
        <v>#DIV/0!</v>
      </c>
    </row>
    <row r="23" spans="1:18">
      <c r="A23" s="22"/>
      <c r="B23" s="24" t="s">
        <v>28</v>
      </c>
      <c r="C23" s="31" t="s">
        <v>29</v>
      </c>
      <c r="D23" s="50"/>
      <c r="E23" s="44">
        <f>SUM(E24:E25)</f>
        <v>0</v>
      </c>
      <c r="F23" s="54">
        <f>SUM(F24:F25)</f>
        <v>0</v>
      </c>
      <c r="G23" s="67"/>
      <c r="H23" s="47">
        <f>H24+H25</f>
        <v>0</v>
      </c>
      <c r="I23" s="69">
        <f>SUM(I24:I25)</f>
        <v>0</v>
      </c>
      <c r="J23" s="59"/>
      <c r="K23" s="44" t="e">
        <f>SUM(K24:K25)</f>
        <v>#DIV/0!</v>
      </c>
      <c r="L23" s="47" t="e">
        <f>SUM(L24:L25)</f>
        <v>#DIV/0!</v>
      </c>
    </row>
    <row r="24" spans="1:18">
      <c r="A24" s="22"/>
      <c r="B24" s="24"/>
      <c r="C24" s="31" t="s">
        <v>50</v>
      </c>
      <c r="D24" s="28" t="e">
        <f t="shared" si="5"/>
        <v>#DIV/0!</v>
      </c>
      <c r="E24" s="29"/>
      <c r="F24" s="55"/>
      <c r="G24" s="67">
        <v>151518.44</v>
      </c>
      <c r="H24" s="32">
        <f>E24</f>
        <v>0</v>
      </c>
      <c r="I24" s="56">
        <f>G24*H24*$O$30*$Q$30/1000</f>
        <v>0</v>
      </c>
      <c r="J24" s="58"/>
      <c r="K24" s="29" t="e">
        <f>'Факт ТП за 3 года'!D18</f>
        <v>#DIV/0!</v>
      </c>
      <c r="L24" s="32" t="e">
        <f>J24*K24*$O$39*$Q$39/1000</f>
        <v>#DIV/0!</v>
      </c>
    </row>
    <row r="25" spans="1:18">
      <c r="A25" s="22"/>
      <c r="B25" s="24"/>
      <c r="C25" s="31" t="s">
        <v>51</v>
      </c>
      <c r="D25" s="28" t="e">
        <f t="shared" si="5"/>
        <v>#DIV/0!</v>
      </c>
      <c r="E25" s="29"/>
      <c r="F25" s="55"/>
      <c r="G25" s="67">
        <v>289600.38</v>
      </c>
      <c r="H25" s="32">
        <f>E25</f>
        <v>0</v>
      </c>
      <c r="I25" s="56">
        <f>G25*H25*$O$30*$Q$30/1000</f>
        <v>0</v>
      </c>
      <c r="J25" s="58"/>
      <c r="K25" s="29" t="e">
        <f>'Факт ТП за 3 года'!D19</f>
        <v>#DIV/0!</v>
      </c>
      <c r="L25" s="32" t="e">
        <f>J25*K25*$O$39*$Q$39/1000</f>
        <v>#DIV/0!</v>
      </c>
    </row>
    <row r="26" spans="1:18">
      <c r="A26" s="22"/>
      <c r="B26" s="24" t="s">
        <v>30</v>
      </c>
      <c r="C26" s="31" t="s">
        <v>54</v>
      </c>
      <c r="D26" s="28" t="e">
        <f t="shared" si="5"/>
        <v>#DIV/0!</v>
      </c>
      <c r="E26" s="29"/>
      <c r="F26" s="55"/>
      <c r="G26" s="67">
        <v>75.989999999999995</v>
      </c>
      <c r="H26" s="32">
        <f>E26</f>
        <v>0</v>
      </c>
      <c r="I26" s="69">
        <f>G26*H26*$O$31*$Q$31/1000</f>
        <v>0</v>
      </c>
      <c r="J26" s="58"/>
      <c r="K26" s="29" t="e">
        <f>'Факт ТП за 3 года'!D20</f>
        <v>#DIV/0!</v>
      </c>
      <c r="L26" s="47" t="e">
        <f>J26*K26*$O$40*$Q$40/1000</f>
        <v>#DIV/0!</v>
      </c>
    </row>
    <row r="27" spans="1:18" ht="52.5" customHeight="1">
      <c r="A27" s="22"/>
      <c r="B27" s="24" t="s">
        <v>31</v>
      </c>
      <c r="C27" s="31" t="s">
        <v>32</v>
      </c>
      <c r="D27" s="36"/>
      <c r="E27" s="108">
        <f>H27</f>
        <v>0</v>
      </c>
      <c r="F27" s="109">
        <f>SUM(F28:F34)</f>
        <v>0</v>
      </c>
      <c r="G27" s="67"/>
      <c r="H27" s="47">
        <f>SUM(H28:H34)</f>
        <v>0</v>
      </c>
      <c r="I27" s="69">
        <f>SUM(I28:I34)</f>
        <v>0</v>
      </c>
      <c r="J27" s="61"/>
      <c r="K27" s="47" t="e">
        <f>SUM(K28:K34)</f>
        <v>#DIV/0!</v>
      </c>
      <c r="L27" s="47" t="e">
        <f>SUM(L28:L34)</f>
        <v>#DIV/0!</v>
      </c>
    </row>
    <row r="28" spans="1:18">
      <c r="A28" s="22"/>
      <c r="B28" s="24"/>
      <c r="C28" s="31" t="s">
        <v>58</v>
      </c>
      <c r="D28" s="28" t="e">
        <f t="shared" si="5"/>
        <v>#DIV/0!</v>
      </c>
      <c r="E28" s="29">
        <f t="shared" ref="E28:E34" si="6">H28</f>
        <v>0</v>
      </c>
      <c r="F28" s="55"/>
      <c r="G28" s="67">
        <v>648.32000000000005</v>
      </c>
      <c r="H28" s="32">
        <f>'Факт ПС за 3 года'!J10*'Факт ПС за 3 года'!K10+'Факт ПС за 3 года'!J11*'Факт ПС за 3 года'!K11+'Факт ПС за 3 года'!J12*'Факт ПС за 3 года'!K12+'Факт ПС за 3 года'!J13*'Факт ПС за 3 года'!K13</f>
        <v>0</v>
      </c>
      <c r="I28" s="56">
        <f>G28*H28*$O$31*$Q$31/1000</f>
        <v>0</v>
      </c>
      <c r="J28" s="58"/>
      <c r="K28" s="32" t="e">
        <f>'Факт ПС за 3 года'!M10*'Факт ПС за 3 года'!N10+'Факт ПС за 3 года'!M11*'Факт ПС за 3 года'!N11+'Факт ПС за 3 года'!M12*'Факт ПС за 3 года'!N12+'Факт ПС за 3 года'!M13*'Факт ПС за 3 года'!N13</f>
        <v>#DIV/0!</v>
      </c>
      <c r="L28" s="32" t="e">
        <f>J28*K28/1000</f>
        <v>#DIV/0!</v>
      </c>
      <c r="M28" s="37" t="s">
        <v>91</v>
      </c>
      <c r="N28" s="38" t="s">
        <v>83</v>
      </c>
      <c r="O28" s="38" t="s">
        <v>84</v>
      </c>
      <c r="P28" s="39" t="s">
        <v>90</v>
      </c>
      <c r="Q28" s="38" t="s">
        <v>88</v>
      </c>
      <c r="R28" s="38" t="s">
        <v>89</v>
      </c>
    </row>
    <row r="29" spans="1:18">
      <c r="A29" s="22"/>
      <c r="B29" s="24"/>
      <c r="C29" s="31" t="s">
        <v>55</v>
      </c>
      <c r="D29" s="28" t="e">
        <f t="shared" si="5"/>
        <v>#DIV/0!</v>
      </c>
      <c r="E29" s="29">
        <f t="shared" si="6"/>
        <v>0</v>
      </c>
      <c r="F29" s="55"/>
      <c r="G29" s="67">
        <v>445.19</v>
      </c>
      <c r="H29" s="32">
        <f>'Факт ПС за 3 года'!J14*'Факт ПС за 3 года'!K14</f>
        <v>0</v>
      </c>
      <c r="I29" s="56">
        <f t="shared" ref="I29:I34" si="7">G29*H29*$O$31*$Q$31/1000</f>
        <v>0</v>
      </c>
      <c r="J29" s="58"/>
      <c r="K29" s="32" t="e">
        <f>'Факт ПС за 3 года'!M14*'Факт ПС за 3 года'!N14</f>
        <v>#DIV/0!</v>
      </c>
      <c r="L29" s="32" t="e">
        <f t="shared" ref="L29:L34" si="8">J29*K29/1000</f>
        <v>#DIV/0!</v>
      </c>
      <c r="N29" s="38" t="s">
        <v>85</v>
      </c>
      <c r="O29" s="75">
        <f>(4.86+4.86+4.94+5.01)/4</f>
        <v>4.9175000000000004</v>
      </c>
      <c r="P29" s="75">
        <f>(4.86+4.86+5.51+5.59)/4</f>
        <v>5.2050000000000001</v>
      </c>
      <c r="Q29" s="38">
        <v>1.01</v>
      </c>
      <c r="R29" s="38">
        <v>1.02</v>
      </c>
    </row>
    <row r="30" spans="1:18">
      <c r="A30" s="22"/>
      <c r="B30" s="24"/>
      <c r="C30" s="31" t="s">
        <v>56</v>
      </c>
      <c r="D30" s="28" t="e">
        <f t="shared" si="5"/>
        <v>#DIV/0!</v>
      </c>
      <c r="E30" s="29">
        <f>H30</f>
        <v>0</v>
      </c>
      <c r="F30" s="55"/>
      <c r="G30" s="67">
        <v>321.88</v>
      </c>
      <c r="H30" s="32">
        <f>'Факт ПС за 3 года'!J15*'Факт ПС за 3 года'!K15</f>
        <v>0</v>
      </c>
      <c r="I30" s="56">
        <f t="shared" si="7"/>
        <v>0</v>
      </c>
      <c r="J30" s="58"/>
      <c r="K30" s="32" t="e">
        <f>'Факт ПС за 3 года'!M15*'Факт ПС за 3 года'!N15</f>
        <v>#DIV/0!</v>
      </c>
      <c r="L30" s="32" t="e">
        <f t="shared" si="8"/>
        <v>#DIV/0!</v>
      </c>
      <c r="N30" s="38" t="s">
        <v>86</v>
      </c>
      <c r="O30" s="75">
        <f>(7.24+7.24+7.36+7.46)/4</f>
        <v>7.3250000000000002</v>
      </c>
      <c r="P30" s="75">
        <f>(7.24+7.24+9.15+9.28)/4</f>
        <v>8.2275000000000009</v>
      </c>
      <c r="Q30" s="38">
        <v>1.01</v>
      </c>
      <c r="R30" s="38">
        <v>1.02</v>
      </c>
    </row>
    <row r="31" spans="1:18">
      <c r="A31" s="22"/>
      <c r="B31" s="24"/>
      <c r="C31" s="31" t="s">
        <v>57</v>
      </c>
      <c r="D31" s="28" t="e">
        <f t="shared" si="5"/>
        <v>#DIV/0!</v>
      </c>
      <c r="E31" s="29">
        <f>H31</f>
        <v>0</v>
      </c>
      <c r="F31" s="55"/>
      <c r="G31" s="67">
        <v>339.24</v>
      </c>
      <c r="H31" s="32">
        <f>'Факт ПС за 3 года'!J16*'Факт ПС за 3 года'!K16</f>
        <v>0</v>
      </c>
      <c r="I31" s="56">
        <f t="shared" si="7"/>
        <v>0</v>
      </c>
      <c r="J31" s="58"/>
      <c r="K31" s="32" t="e">
        <f>'Факт ПС за 3 года'!M16*'Факт ПС за 3 года'!N16</f>
        <v>#DIV/0!</v>
      </c>
      <c r="L31" s="32" t="e">
        <f t="shared" si="8"/>
        <v>#DIV/0!</v>
      </c>
      <c r="N31" s="38" t="s">
        <v>87</v>
      </c>
      <c r="O31" s="75">
        <f>(8.87+8.87+9.01+9.14)/4</f>
        <v>8.9725000000000001</v>
      </c>
      <c r="P31" s="75">
        <f>(8.87+8.87+10.75+10.9)/4</f>
        <v>9.8475000000000001</v>
      </c>
      <c r="Q31" s="38">
        <v>1.01</v>
      </c>
      <c r="R31" s="38">
        <v>1.02</v>
      </c>
    </row>
    <row r="32" spans="1:18">
      <c r="A32" s="22"/>
      <c r="B32" s="24"/>
      <c r="C32" s="40" t="s">
        <v>59</v>
      </c>
      <c r="D32" s="28" t="e">
        <f t="shared" si="5"/>
        <v>#DIV/0!</v>
      </c>
      <c r="E32" s="29">
        <f t="shared" si="6"/>
        <v>0</v>
      </c>
      <c r="F32" s="55"/>
      <c r="G32" s="67">
        <v>234.05</v>
      </c>
      <c r="H32" s="32">
        <f>'Факт ПС за 3 года'!J17*'Факт ПС за 3 года'!K17+'Факт ПС за 3 года'!J18*'Факт ПС за 3 года'!K18+'Факт ПС за 3 года'!J19*'Факт ПС за 3 года'!K19</f>
        <v>0</v>
      </c>
      <c r="I32" s="56">
        <f t="shared" si="7"/>
        <v>0</v>
      </c>
      <c r="J32" s="58"/>
      <c r="K32" s="32" t="e">
        <f>'Факт ПС за 3 года'!M17*'Факт ПС за 3 года'!N17+'Факт ПС за 3 года'!M18*'Факт ПС за 3 года'!N18+'Факт ПС за 3 года'!M19*'Факт ПС за 3 года'!N19</f>
        <v>#DIV/0!</v>
      </c>
      <c r="L32" s="32" t="e">
        <f t="shared" si="8"/>
        <v>#DIV/0!</v>
      </c>
      <c r="M32" s="37"/>
      <c r="N32" s="41"/>
      <c r="O32" s="41"/>
      <c r="P32" s="41"/>
      <c r="Q32" s="41"/>
      <c r="R32" s="41"/>
    </row>
    <row r="33" spans="1:18">
      <c r="A33" s="22"/>
      <c r="B33" s="24"/>
      <c r="C33" s="40" t="s">
        <v>73</v>
      </c>
      <c r="D33" s="28" t="e">
        <f t="shared" si="5"/>
        <v>#DIV/0!</v>
      </c>
      <c r="E33" s="29">
        <f t="shared" si="6"/>
        <v>0</v>
      </c>
      <c r="F33" s="55"/>
      <c r="G33" s="67">
        <v>2109.42</v>
      </c>
      <c r="H33" s="32">
        <f>'Факт ПС за 3 года'!J20*'Факт ПС за 3 года'!K20</f>
        <v>0</v>
      </c>
      <c r="I33" s="56">
        <f t="shared" si="7"/>
        <v>0</v>
      </c>
      <c r="J33" s="58"/>
      <c r="K33" s="32" t="e">
        <f>'Факт ПС за 3 года'!M20*'Факт ПС за 3 года'!N20</f>
        <v>#DIV/0!</v>
      </c>
      <c r="L33" s="32" t="e">
        <f t="shared" si="8"/>
        <v>#DIV/0!</v>
      </c>
      <c r="M33" s="37"/>
    </row>
    <row r="34" spans="1:18">
      <c r="A34" s="22"/>
      <c r="B34" s="24"/>
      <c r="C34" s="40" t="s">
        <v>74</v>
      </c>
      <c r="D34" s="28" t="e">
        <f t="shared" si="5"/>
        <v>#DIV/0!</v>
      </c>
      <c r="E34" s="29">
        <f t="shared" si="6"/>
        <v>0</v>
      </c>
      <c r="F34" s="55"/>
      <c r="G34" s="67">
        <v>1930.99</v>
      </c>
      <c r="H34" s="32">
        <f>'Факт ПС за 3 года'!J21*'Факт ПС за 3 года'!K21</f>
        <v>0</v>
      </c>
      <c r="I34" s="56">
        <f t="shared" si="7"/>
        <v>0</v>
      </c>
      <c r="J34" s="58"/>
      <c r="K34" s="32" t="e">
        <f>'Факт ПС за 3 года'!M21*'Факт ПС за 3 года'!N21</f>
        <v>#DIV/0!</v>
      </c>
      <c r="L34" s="32" t="e">
        <f t="shared" si="8"/>
        <v>#DIV/0!</v>
      </c>
      <c r="M34" s="37"/>
    </row>
    <row r="35" spans="1:18" ht="24.75" customHeight="1">
      <c r="A35" s="22"/>
      <c r="B35" s="42" t="s">
        <v>33</v>
      </c>
      <c r="C35" s="43" t="s">
        <v>34</v>
      </c>
      <c r="D35" s="28" t="e">
        <f t="shared" si="5"/>
        <v>#DIV/0!</v>
      </c>
      <c r="E35" s="29"/>
      <c r="F35" s="55"/>
      <c r="G35" s="66"/>
      <c r="H35" s="32">
        <f>'Факт ПС за 3 года'!J26*'Факт ПС за 3 года'!K26</f>
        <v>0</v>
      </c>
      <c r="I35" s="56">
        <f>G35*H35*$O$31*$Q$31/1000</f>
        <v>0</v>
      </c>
      <c r="J35" s="58"/>
      <c r="K35" s="29" t="e">
        <f>'Факт ТП за 3 года'!D46</f>
        <v>#DIV/0!</v>
      </c>
      <c r="L35" s="32" t="e">
        <f>J35*K35/1000</f>
        <v>#DIV/0!</v>
      </c>
      <c r="M35" s="37"/>
    </row>
    <row r="36" spans="1:18" ht="18.75" customHeight="1">
      <c r="A36" s="22"/>
      <c r="B36" s="219" t="s">
        <v>60</v>
      </c>
      <c r="C36" s="220"/>
      <c r="D36" s="34"/>
      <c r="E36" s="34"/>
      <c r="F36" s="57"/>
      <c r="G36" s="68"/>
      <c r="H36" s="34"/>
      <c r="I36" s="57"/>
      <c r="J36" s="34"/>
      <c r="K36" s="34"/>
      <c r="L36" s="35"/>
    </row>
    <row r="37" spans="1:18">
      <c r="A37" s="22"/>
      <c r="B37" s="24" t="s">
        <v>61</v>
      </c>
      <c r="C37" s="31" t="s">
        <v>27</v>
      </c>
      <c r="D37" s="36"/>
      <c r="E37" s="44">
        <f>SUM(E38:E39)</f>
        <v>0</v>
      </c>
      <c r="F37" s="54">
        <f>SUM(F38:F39)</f>
        <v>0</v>
      </c>
      <c r="G37" s="67"/>
      <c r="H37" s="47">
        <f>H38+H39</f>
        <v>0</v>
      </c>
      <c r="I37" s="69">
        <f>SUM(I38:I39)</f>
        <v>0</v>
      </c>
      <c r="J37" s="59"/>
      <c r="K37" s="44" t="e">
        <f>SUM(K38:K39)</f>
        <v>#DIV/0!</v>
      </c>
      <c r="L37" s="47" t="e">
        <f>SUM(L38:L39)</f>
        <v>#DIV/0!</v>
      </c>
      <c r="M37" s="37" t="s">
        <v>92</v>
      </c>
      <c r="N37" s="38" t="s">
        <v>83</v>
      </c>
      <c r="O37" s="38" t="s">
        <v>84</v>
      </c>
      <c r="P37" s="39" t="s">
        <v>90</v>
      </c>
      <c r="Q37" s="38" t="s">
        <v>88</v>
      </c>
      <c r="R37" s="38" t="s">
        <v>89</v>
      </c>
    </row>
    <row r="38" spans="1:18">
      <c r="A38" s="22"/>
      <c r="B38" s="24"/>
      <c r="C38" s="31" t="s">
        <v>48</v>
      </c>
      <c r="D38" s="28" t="e">
        <f>F38*1000/E38</f>
        <v>#DIV/0!</v>
      </c>
      <c r="E38" s="29"/>
      <c r="F38" s="55"/>
      <c r="G38" s="67">
        <v>183673.47</v>
      </c>
      <c r="H38" s="32">
        <f>E38</f>
        <v>0</v>
      </c>
      <c r="I38" s="56">
        <f>G38*H38*$P$29*$R$29/1000</f>
        <v>0</v>
      </c>
      <c r="J38" s="58"/>
      <c r="K38" s="29" t="e">
        <f>'Факт ТП за 3 года'!D32</f>
        <v>#DIV/0!</v>
      </c>
      <c r="L38" s="32" t="e">
        <f>J38*K38*$O$38*$Q$38/1000</f>
        <v>#DIV/0!</v>
      </c>
      <c r="N38" s="38" t="s">
        <v>85</v>
      </c>
      <c r="O38" s="74">
        <v>4.8</v>
      </c>
      <c r="P38" s="74"/>
      <c r="Q38" s="75">
        <v>1.01</v>
      </c>
      <c r="R38" s="75">
        <v>1.02</v>
      </c>
    </row>
    <row r="39" spans="1:18">
      <c r="A39" s="22"/>
      <c r="B39" s="24"/>
      <c r="C39" s="31" t="s">
        <v>49</v>
      </c>
      <c r="D39" s="28" t="e">
        <f t="shared" ref="D39" si="9">F39*1000/E39</f>
        <v>#DIV/0!</v>
      </c>
      <c r="E39" s="29"/>
      <c r="F39" s="55"/>
      <c r="G39" s="67">
        <v>236734.69</v>
      </c>
      <c r="H39" s="32">
        <f>E39</f>
        <v>0</v>
      </c>
      <c r="I39" s="56">
        <f>G39*H39*$P$29*$R$29/1000</f>
        <v>0</v>
      </c>
      <c r="J39" s="58"/>
      <c r="K39" s="29" t="e">
        <f>'Факт ТП за 3 года'!D33</f>
        <v>#DIV/0!</v>
      </c>
      <c r="L39" s="32" t="e">
        <f>J39*K39*$O$38*$Q$38/1000</f>
        <v>#DIV/0!</v>
      </c>
      <c r="N39" s="38" t="s">
        <v>86</v>
      </c>
      <c r="O39" s="74">
        <v>7.06</v>
      </c>
      <c r="P39" s="74"/>
      <c r="Q39" s="75">
        <v>1.01</v>
      </c>
      <c r="R39" s="75">
        <v>1.02</v>
      </c>
    </row>
    <row r="40" spans="1:18">
      <c r="A40" s="22"/>
      <c r="B40" s="24" t="s">
        <v>62</v>
      </c>
      <c r="C40" s="31" t="s">
        <v>29</v>
      </c>
      <c r="D40" s="50"/>
      <c r="E40" s="44">
        <f>SUM(E41:E42)</f>
        <v>0</v>
      </c>
      <c r="F40" s="54">
        <f>SUM(F41:F42)</f>
        <v>0</v>
      </c>
      <c r="G40" s="67"/>
      <c r="H40" s="47">
        <f>H41+H42</f>
        <v>0</v>
      </c>
      <c r="I40" s="69">
        <f>SUM(I41:I42)</f>
        <v>0</v>
      </c>
      <c r="J40" s="59"/>
      <c r="K40" s="44" t="e">
        <f>SUM(K41:K42)</f>
        <v>#DIV/0!</v>
      </c>
      <c r="L40" s="47" t="e">
        <f>SUM(L41:L42)</f>
        <v>#DIV/0!</v>
      </c>
      <c r="N40" s="38" t="s">
        <v>87</v>
      </c>
      <c r="O40" s="74">
        <v>8.65</v>
      </c>
      <c r="P40" s="74"/>
      <c r="Q40" s="75">
        <v>1.01</v>
      </c>
      <c r="R40" s="75">
        <v>1.02</v>
      </c>
    </row>
    <row r="41" spans="1:18">
      <c r="A41" s="22"/>
      <c r="B41" s="24"/>
      <c r="C41" s="31" t="s">
        <v>50</v>
      </c>
      <c r="D41" s="28" t="e">
        <f t="shared" ref="D41:D43" si="10">F41*1000/E41</f>
        <v>#DIV/0!</v>
      </c>
      <c r="E41" s="29"/>
      <c r="F41" s="55"/>
      <c r="G41" s="67">
        <v>151518.44</v>
      </c>
      <c r="H41" s="32">
        <f>E41</f>
        <v>0</v>
      </c>
      <c r="I41" s="56">
        <f>G41*H41*$P$29*$R$29/1000</f>
        <v>0</v>
      </c>
      <c r="J41" s="58"/>
      <c r="K41" s="29" t="e">
        <f>'Факт ТП за 3 года'!D35</f>
        <v>#DIV/0!</v>
      </c>
      <c r="L41" s="32" t="e">
        <f>J41*K41*$O$39*$Q$39/1000</f>
        <v>#DIV/0!</v>
      </c>
    </row>
    <row r="42" spans="1:18">
      <c r="A42" s="22"/>
      <c r="B42" s="24"/>
      <c r="C42" s="31" t="s">
        <v>51</v>
      </c>
      <c r="D42" s="28" t="e">
        <f t="shared" si="10"/>
        <v>#DIV/0!</v>
      </c>
      <c r="E42" s="29"/>
      <c r="F42" s="55"/>
      <c r="G42" s="67">
        <v>289600.38</v>
      </c>
      <c r="H42" s="32">
        <f>E42</f>
        <v>0</v>
      </c>
      <c r="I42" s="56">
        <f>G42*H42*$P$29*$R$29/1000</f>
        <v>0</v>
      </c>
      <c r="J42" s="58"/>
      <c r="K42" s="29" t="e">
        <f>'Факт ТП за 3 года'!D36</f>
        <v>#DIV/0!</v>
      </c>
      <c r="L42" s="32" t="e">
        <f>J42*K42*$O$39*$Q$39/1000</f>
        <v>#DIV/0!</v>
      </c>
    </row>
    <row r="43" spans="1:18">
      <c r="A43" s="22"/>
      <c r="B43" s="24" t="s">
        <v>63</v>
      </c>
      <c r="C43" s="31" t="s">
        <v>54</v>
      </c>
      <c r="D43" s="28" t="e">
        <f t="shared" si="10"/>
        <v>#DIV/0!</v>
      </c>
      <c r="E43" s="29"/>
      <c r="F43" s="55"/>
      <c r="G43" s="67">
        <v>75.989999999999995</v>
      </c>
      <c r="H43" s="32">
        <f>E43</f>
        <v>0</v>
      </c>
      <c r="I43" s="69">
        <f>G43*H43*$O$31*$Q$31/1000</f>
        <v>0</v>
      </c>
      <c r="J43" s="58"/>
      <c r="K43" s="29" t="e">
        <f>'Факт ТП за 3 года'!D37</f>
        <v>#DIV/0!</v>
      </c>
      <c r="L43" s="47" t="e">
        <f>J43*K43*$O$40*$Q$40/1000</f>
        <v>#DIV/0!</v>
      </c>
    </row>
    <row r="44" spans="1:18" ht="48">
      <c r="A44" s="22"/>
      <c r="B44" s="24" t="s">
        <v>64</v>
      </c>
      <c r="C44" s="31" t="s">
        <v>32</v>
      </c>
      <c r="D44" s="36"/>
      <c r="E44" s="108">
        <f>H44</f>
        <v>0</v>
      </c>
      <c r="F44" s="109">
        <f>SUM(F45:F51)</f>
        <v>0</v>
      </c>
      <c r="G44" s="67"/>
      <c r="H44" s="47">
        <f>SUM(H45:H51)</f>
        <v>0</v>
      </c>
      <c r="I44" s="69">
        <f>SUM(I45:I51)</f>
        <v>0</v>
      </c>
      <c r="J44" s="61"/>
      <c r="K44" s="47" t="e">
        <f>SUM(K45:K51)</f>
        <v>#DIV/0!</v>
      </c>
      <c r="L44" s="47" t="e">
        <f>SUM(L45:L51)</f>
        <v>#DIV/0!</v>
      </c>
    </row>
    <row r="45" spans="1:18">
      <c r="A45" s="22"/>
      <c r="B45" s="24"/>
      <c r="C45" s="40" t="s">
        <v>58</v>
      </c>
      <c r="D45" s="28" t="e">
        <f t="shared" ref="D45:D52" si="11">F45*1000/E45</f>
        <v>#DIV/0!</v>
      </c>
      <c r="E45" s="29">
        <f t="shared" ref="E45:E46" si="12">H45</f>
        <v>0</v>
      </c>
      <c r="F45" s="55"/>
      <c r="G45" s="67">
        <v>648.32000000000005</v>
      </c>
      <c r="H45" s="32">
        <f>'Факт ПС за 3 года'!J27*'Факт ПС за 3 года'!K27+'Факт ПС за 3 года'!J28*'Факт ПС за 3 года'!K28+'Факт ПС за 3 года'!J29*'Факт ПС за 3 года'!K29+'Факт ПС за 3 года'!J30*'Факт ПС за 3 года'!K30</f>
        <v>0</v>
      </c>
      <c r="I45" s="56">
        <f>G45*H45*$P$31*$R$31/1000</f>
        <v>0</v>
      </c>
      <c r="J45" s="58"/>
      <c r="K45" s="32" t="e">
        <f>'Факт ПС за 3 года'!M27*'Факт ПС за 3 года'!N27+'Факт ПС за 3 года'!M28*'Факт ПС за 3 года'!N28+'Факт ПС за 3 года'!M29*'Факт ПС за 3 года'!N29+'Факт ПС за 3 года'!M30*'Факт ПС за 3 года'!N30</f>
        <v>#DIV/0!</v>
      </c>
      <c r="L45" s="32" t="e">
        <f>J45*K45/1000</f>
        <v>#DIV/0!</v>
      </c>
    </row>
    <row r="46" spans="1:18">
      <c r="A46" s="22"/>
      <c r="B46" s="24"/>
      <c r="C46" s="40" t="s">
        <v>55</v>
      </c>
      <c r="D46" s="28" t="e">
        <f t="shared" si="11"/>
        <v>#DIV/0!</v>
      </c>
      <c r="E46" s="29">
        <f t="shared" si="12"/>
        <v>0</v>
      </c>
      <c r="F46" s="55"/>
      <c r="G46" s="67">
        <v>445.19</v>
      </c>
      <c r="H46" s="32">
        <f>'Факт ПС за 3 года'!J31*'Факт ПС за 3 года'!K31</f>
        <v>0</v>
      </c>
      <c r="I46" s="56">
        <f t="shared" ref="I46:I51" si="13">G46*H46*$P$31*$R$31/1000</f>
        <v>0</v>
      </c>
      <c r="J46" s="58"/>
      <c r="K46" s="32" t="e">
        <f>'Факт ПС за 3 года'!M31*'Факт ПС за 3 года'!N31</f>
        <v>#DIV/0!</v>
      </c>
      <c r="L46" s="32" t="e">
        <f t="shared" ref="L46:L51" si="14">J46*K46/1000</f>
        <v>#DIV/0!</v>
      </c>
    </row>
    <row r="47" spans="1:18">
      <c r="A47" s="22"/>
      <c r="B47" s="24"/>
      <c r="C47" s="40" t="s">
        <v>56</v>
      </c>
      <c r="D47" s="28" t="e">
        <f t="shared" si="11"/>
        <v>#DIV/0!</v>
      </c>
      <c r="E47" s="29">
        <f>H47</f>
        <v>0</v>
      </c>
      <c r="F47" s="55"/>
      <c r="G47" s="67">
        <v>321.88</v>
      </c>
      <c r="H47" s="32">
        <f>'Факт ПС за 3 года'!J32*'Факт ПС за 3 года'!K32</f>
        <v>0</v>
      </c>
      <c r="I47" s="56">
        <f t="shared" si="13"/>
        <v>0</v>
      </c>
      <c r="J47" s="58"/>
      <c r="K47" s="32" t="e">
        <f>'Факт ПС за 3 года'!M32*'Факт ПС за 3 года'!N32</f>
        <v>#DIV/0!</v>
      </c>
      <c r="L47" s="32" t="e">
        <f t="shared" si="14"/>
        <v>#DIV/0!</v>
      </c>
    </row>
    <row r="48" spans="1:18">
      <c r="A48" s="22"/>
      <c r="B48" s="24"/>
      <c r="C48" s="40" t="s">
        <v>57</v>
      </c>
      <c r="D48" s="28" t="e">
        <f t="shared" si="11"/>
        <v>#DIV/0!</v>
      </c>
      <c r="E48" s="29">
        <f>H48</f>
        <v>0</v>
      </c>
      <c r="F48" s="55"/>
      <c r="G48" s="67">
        <v>339.24</v>
      </c>
      <c r="H48" s="32">
        <f>'Факт ПС за 3 года'!J33*'Факт ПС за 3 года'!K33</f>
        <v>0</v>
      </c>
      <c r="I48" s="56">
        <f t="shared" si="13"/>
        <v>0</v>
      </c>
      <c r="J48" s="58"/>
      <c r="K48" s="32" t="e">
        <f>'Факт ПС за 3 года'!M33*'Факт ПС за 3 года'!N33</f>
        <v>#DIV/0!</v>
      </c>
      <c r="L48" s="32" t="e">
        <f t="shared" si="14"/>
        <v>#DIV/0!</v>
      </c>
    </row>
    <row r="49" spans="1:12">
      <c r="A49" s="22"/>
      <c r="B49" s="24"/>
      <c r="C49" s="40" t="s">
        <v>59</v>
      </c>
      <c r="D49" s="28" t="e">
        <f t="shared" si="11"/>
        <v>#DIV/0!</v>
      </c>
      <c r="E49" s="29">
        <f t="shared" ref="E49:E51" si="15">H49</f>
        <v>0</v>
      </c>
      <c r="F49" s="55"/>
      <c r="G49" s="67">
        <v>234.05</v>
      </c>
      <c r="H49" s="32">
        <f>'Факт ПС за 3 года'!J34*'Факт ПС за 3 года'!K34+'Факт ПС за 3 года'!J35*'Факт ПС за 3 года'!K35+'Факт ПС за 3 года'!J36*'Факт ПС за 3 года'!K36</f>
        <v>0</v>
      </c>
      <c r="I49" s="56">
        <f t="shared" si="13"/>
        <v>0</v>
      </c>
      <c r="J49" s="58"/>
      <c r="K49" s="32" t="e">
        <f>'Факт ПС за 3 года'!M34*'Факт ПС за 3 года'!N34+'Факт ПС за 3 года'!M35*'Факт ПС за 3 года'!N35+'Факт ПС за 3 года'!M36*'Факт ПС за 3 года'!N36</f>
        <v>#DIV/0!</v>
      </c>
      <c r="L49" s="32" t="e">
        <f t="shared" si="14"/>
        <v>#DIV/0!</v>
      </c>
    </row>
    <row r="50" spans="1:12">
      <c r="A50" s="22"/>
      <c r="B50" s="24"/>
      <c r="C50" s="40" t="s">
        <v>73</v>
      </c>
      <c r="D50" s="28" t="e">
        <f t="shared" si="11"/>
        <v>#DIV/0!</v>
      </c>
      <c r="E50" s="29">
        <f t="shared" si="15"/>
        <v>0</v>
      </c>
      <c r="F50" s="55"/>
      <c r="G50" s="67">
        <v>2109.42</v>
      </c>
      <c r="H50" s="32">
        <f>'Факт ПС за 3 года'!J37*'Факт ПС за 3 года'!K37</f>
        <v>0</v>
      </c>
      <c r="I50" s="56">
        <f t="shared" si="13"/>
        <v>0</v>
      </c>
      <c r="J50" s="58"/>
      <c r="K50" s="32" t="e">
        <f>'Факт ПС за 3 года'!M37*'Факт ПС за 3 года'!N37</f>
        <v>#DIV/0!</v>
      </c>
      <c r="L50" s="32" t="e">
        <f t="shared" si="14"/>
        <v>#DIV/0!</v>
      </c>
    </row>
    <row r="51" spans="1:12">
      <c r="A51" s="22"/>
      <c r="B51" s="24"/>
      <c r="C51" s="40" t="s">
        <v>74</v>
      </c>
      <c r="D51" s="28" t="e">
        <f t="shared" si="11"/>
        <v>#DIV/0!</v>
      </c>
      <c r="E51" s="29">
        <f t="shared" si="15"/>
        <v>0</v>
      </c>
      <c r="F51" s="55"/>
      <c r="G51" s="67">
        <v>1930.99</v>
      </c>
      <c r="H51" s="32">
        <f>'Факт ПС за 3 года'!J38*'Факт ПС за 3 года'!K38</f>
        <v>0</v>
      </c>
      <c r="I51" s="56">
        <f t="shared" si="13"/>
        <v>0</v>
      </c>
      <c r="J51" s="58"/>
      <c r="K51" s="32" t="e">
        <f>'Факт ПС за 3 года'!M38*'Факт ПС за 3 года'!N38</f>
        <v>#DIV/0!</v>
      </c>
      <c r="L51" s="32" t="e">
        <f t="shared" si="14"/>
        <v>#DIV/0!</v>
      </c>
    </row>
    <row r="52" spans="1:12" ht="24">
      <c r="A52" s="22"/>
      <c r="B52" s="24" t="s">
        <v>65</v>
      </c>
      <c r="C52" s="40" t="s">
        <v>34</v>
      </c>
      <c r="D52" s="28" t="e">
        <f t="shared" si="11"/>
        <v>#DIV/0!</v>
      </c>
      <c r="E52" s="29"/>
      <c r="F52" s="55"/>
      <c r="G52" s="66"/>
      <c r="H52" s="32">
        <f>'Факт ПС за 3 года'!J43*'Факт ПС за 3 года'!K43</f>
        <v>0</v>
      </c>
      <c r="I52" s="56">
        <f>G52*H52*$P$31*$R$31/1000</f>
        <v>0</v>
      </c>
      <c r="J52" s="58"/>
      <c r="K52" s="29" t="e">
        <f>'Факт ТП за 3 года'!D46</f>
        <v>#DIV/0!</v>
      </c>
      <c r="L52" s="32" t="e">
        <f>J52*K52/1000</f>
        <v>#DIV/0!</v>
      </c>
    </row>
    <row r="53" spans="1:12" ht="26.25" customHeight="1">
      <c r="A53" s="22"/>
      <c r="B53" s="26" t="s">
        <v>18</v>
      </c>
      <c r="C53" s="45" t="s">
        <v>35</v>
      </c>
      <c r="D53" s="36"/>
      <c r="E53" s="36"/>
      <c r="F53" s="54">
        <f>F54*F55/1000</f>
        <v>1.3983050847457628</v>
      </c>
      <c r="G53" s="70"/>
      <c r="H53" s="36"/>
      <c r="I53" s="54">
        <f>I54*I55/1000</f>
        <v>1.3983050847457628</v>
      </c>
      <c r="J53" s="59"/>
      <c r="K53" s="36"/>
      <c r="L53" s="44">
        <f>L54*L55/1000</f>
        <v>1.3983050847457628</v>
      </c>
    </row>
    <row r="54" spans="1:12" ht="28.5" customHeight="1">
      <c r="A54" s="22"/>
      <c r="B54" s="24" t="s">
        <v>36</v>
      </c>
      <c r="C54" s="40" t="s">
        <v>37</v>
      </c>
      <c r="D54" s="36"/>
      <c r="E54" s="36"/>
      <c r="F54" s="55">
        <f>550/1.18</f>
        <v>466.10169491525426</v>
      </c>
      <c r="G54" s="70"/>
      <c r="H54" s="36"/>
      <c r="I54" s="54">
        <f>F54</f>
        <v>466.10169491525426</v>
      </c>
      <c r="J54" s="59"/>
      <c r="K54" s="36"/>
      <c r="L54" s="66">
        <f>F54</f>
        <v>466.10169491525426</v>
      </c>
    </row>
    <row r="55" spans="1:12" ht="100.5" customHeight="1">
      <c r="A55" s="22"/>
      <c r="B55" s="24" t="s">
        <v>38</v>
      </c>
      <c r="C55" s="40" t="s">
        <v>39</v>
      </c>
      <c r="D55" s="36"/>
      <c r="E55" s="36"/>
      <c r="F55" s="55">
        <v>3</v>
      </c>
      <c r="G55" s="70"/>
      <c r="H55" s="36"/>
      <c r="I55" s="54">
        <f>F55</f>
        <v>3</v>
      </c>
      <c r="J55" s="59"/>
      <c r="K55" s="36"/>
      <c r="L55" s="66">
        <v>3</v>
      </c>
    </row>
    <row r="56" spans="1:12" ht="48.75" customHeight="1">
      <c r="A56" s="22"/>
      <c r="B56" s="26" t="s">
        <v>19</v>
      </c>
      <c r="C56" s="45" t="s">
        <v>40</v>
      </c>
      <c r="D56" s="36"/>
      <c r="E56" s="36"/>
      <c r="F56" s="72">
        <f>F13+F18-F53</f>
        <v>35.060694915254238</v>
      </c>
      <c r="G56" s="70"/>
      <c r="H56" s="36"/>
      <c r="I56" s="72">
        <f>I13+I18-I53</f>
        <v>6.0266949152542368</v>
      </c>
      <c r="J56" s="59"/>
      <c r="K56" s="36"/>
      <c r="L56" s="73">
        <f>L13+L18-L53</f>
        <v>7.2590949152542361</v>
      </c>
    </row>
    <row r="59" spans="1:12">
      <c r="B59" s="17" t="s">
        <v>5</v>
      </c>
      <c r="C59" s="17" t="s">
        <v>218</v>
      </c>
    </row>
    <row r="60" spans="1:12">
      <c r="C60" s="17" t="s">
        <v>219</v>
      </c>
    </row>
  </sheetData>
  <mergeCells count="7">
    <mergeCell ref="G9:I9"/>
    <mergeCell ref="J9:L9"/>
    <mergeCell ref="B19:C19"/>
    <mergeCell ref="B36:C36"/>
    <mergeCell ref="B9:B11"/>
    <mergeCell ref="C9:C11"/>
    <mergeCell ref="D9:F9"/>
  </mergeCells>
  <pageMargins left="0.78740157480314965" right="0.39370078740157483" top="0.39370078740157483" bottom="0.39370078740157483" header="0.31496062992125984" footer="0.31496062992125984"/>
  <pageSetup paperSize="9" scale="52" fitToHeight="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43"/>
  <sheetViews>
    <sheetView view="pageBreakPreview" topLeftCell="A4" zoomScale="40" zoomScaleNormal="80" zoomScaleSheetLayoutView="40" workbookViewId="0">
      <selection activeCell="B2" sqref="B2"/>
    </sheetView>
  </sheetViews>
  <sheetFormatPr defaultColWidth="8.7109375" defaultRowHeight="12.75" outlineLevelRow="1"/>
  <cols>
    <col min="1" max="1" width="5.42578125" style="111" customWidth="1"/>
    <col min="2" max="2" width="8.7109375" style="110"/>
    <col min="3" max="3" width="17.42578125" style="110" customWidth="1"/>
    <col min="4" max="4" width="22.42578125" style="110" customWidth="1"/>
    <col min="5" max="9" width="12.42578125" style="110" customWidth="1"/>
    <col min="10" max="10" width="19.140625" style="111" customWidth="1"/>
    <col min="11" max="11" width="19.85546875" style="111" customWidth="1"/>
    <col min="12" max="12" width="12.28515625" style="112" customWidth="1"/>
    <col min="13" max="14" width="12.28515625" style="111" customWidth="1"/>
    <col min="15" max="15" width="12.85546875" style="111" customWidth="1"/>
    <col min="16" max="16" width="12" style="111" customWidth="1"/>
    <col min="17" max="17" width="12.5703125" style="111" customWidth="1"/>
    <col min="18" max="18" width="12.28515625" style="111" customWidth="1"/>
    <col min="19" max="19" width="12.140625" style="111" customWidth="1"/>
    <col min="20" max="21" width="12.28515625" style="111" customWidth="1"/>
    <col min="22" max="22" width="21.140625" style="111" customWidth="1"/>
    <col min="23" max="259" width="8.7109375" style="111"/>
    <col min="260" max="260" width="41.7109375" style="111" customWidth="1"/>
    <col min="261" max="265" width="15.85546875" style="111" customWidth="1"/>
    <col min="266" max="266" width="20.42578125" style="111" customWidth="1"/>
    <col min="267" max="267" width="19.85546875" style="111" customWidth="1"/>
    <col min="268" max="270" width="12.28515625" style="111" customWidth="1"/>
    <col min="271" max="271" width="12.85546875" style="111" customWidth="1"/>
    <col min="272" max="272" width="12" style="111" customWidth="1"/>
    <col min="273" max="273" width="12.5703125" style="111" customWidth="1"/>
    <col min="274" max="274" width="12.28515625" style="111" customWidth="1"/>
    <col min="275" max="275" width="12.140625" style="111" customWidth="1"/>
    <col min="276" max="277" width="12.28515625" style="111" customWidth="1"/>
    <col min="278" max="278" width="21.140625" style="111" customWidth="1"/>
    <col min="279" max="515" width="8.7109375" style="111"/>
    <col min="516" max="516" width="41.7109375" style="111" customWidth="1"/>
    <col min="517" max="521" width="15.85546875" style="111" customWidth="1"/>
    <col min="522" max="522" width="20.42578125" style="111" customWidth="1"/>
    <col min="523" max="523" width="19.85546875" style="111" customWidth="1"/>
    <col min="524" max="526" width="12.28515625" style="111" customWidth="1"/>
    <col min="527" max="527" width="12.85546875" style="111" customWidth="1"/>
    <col min="528" max="528" width="12" style="111" customWidth="1"/>
    <col min="529" max="529" width="12.5703125" style="111" customWidth="1"/>
    <col min="530" max="530" width="12.28515625" style="111" customWidth="1"/>
    <col min="531" max="531" width="12.140625" style="111" customWidth="1"/>
    <col min="532" max="533" width="12.28515625" style="111" customWidth="1"/>
    <col min="534" max="534" width="21.140625" style="111" customWidth="1"/>
    <col min="535" max="771" width="8.7109375" style="111"/>
    <col min="772" max="772" width="41.7109375" style="111" customWidth="1"/>
    <col min="773" max="777" width="15.85546875" style="111" customWidth="1"/>
    <col min="778" max="778" width="20.42578125" style="111" customWidth="1"/>
    <col min="779" max="779" width="19.85546875" style="111" customWidth="1"/>
    <col min="780" max="782" width="12.28515625" style="111" customWidth="1"/>
    <col min="783" max="783" width="12.85546875" style="111" customWidth="1"/>
    <col min="784" max="784" width="12" style="111" customWidth="1"/>
    <col min="785" max="785" width="12.5703125" style="111" customWidth="1"/>
    <col min="786" max="786" width="12.28515625" style="111" customWidth="1"/>
    <col min="787" max="787" width="12.140625" style="111" customWidth="1"/>
    <col min="788" max="789" width="12.28515625" style="111" customWidth="1"/>
    <col min="790" max="790" width="21.140625" style="111" customWidth="1"/>
    <col min="791" max="1027" width="8.7109375" style="111"/>
    <col min="1028" max="1028" width="41.7109375" style="111" customWidth="1"/>
    <col min="1029" max="1033" width="15.85546875" style="111" customWidth="1"/>
    <col min="1034" max="1034" width="20.42578125" style="111" customWidth="1"/>
    <col min="1035" max="1035" width="19.85546875" style="111" customWidth="1"/>
    <col min="1036" max="1038" width="12.28515625" style="111" customWidth="1"/>
    <col min="1039" max="1039" width="12.85546875" style="111" customWidth="1"/>
    <col min="1040" max="1040" width="12" style="111" customWidth="1"/>
    <col min="1041" max="1041" width="12.5703125" style="111" customWidth="1"/>
    <col min="1042" max="1042" width="12.28515625" style="111" customWidth="1"/>
    <col min="1043" max="1043" width="12.140625" style="111" customWidth="1"/>
    <col min="1044" max="1045" width="12.28515625" style="111" customWidth="1"/>
    <col min="1046" max="1046" width="21.140625" style="111" customWidth="1"/>
    <col min="1047" max="1283" width="8.7109375" style="111"/>
    <col min="1284" max="1284" width="41.7109375" style="111" customWidth="1"/>
    <col min="1285" max="1289" width="15.85546875" style="111" customWidth="1"/>
    <col min="1290" max="1290" width="20.42578125" style="111" customWidth="1"/>
    <col min="1291" max="1291" width="19.85546875" style="111" customWidth="1"/>
    <col min="1292" max="1294" width="12.28515625" style="111" customWidth="1"/>
    <col min="1295" max="1295" width="12.85546875" style="111" customWidth="1"/>
    <col min="1296" max="1296" width="12" style="111" customWidth="1"/>
    <col min="1297" max="1297" width="12.5703125" style="111" customWidth="1"/>
    <col min="1298" max="1298" width="12.28515625" style="111" customWidth="1"/>
    <col min="1299" max="1299" width="12.140625" style="111" customWidth="1"/>
    <col min="1300" max="1301" width="12.28515625" style="111" customWidth="1"/>
    <col min="1302" max="1302" width="21.140625" style="111" customWidth="1"/>
    <col min="1303" max="1539" width="8.7109375" style="111"/>
    <col min="1540" max="1540" width="41.7109375" style="111" customWidth="1"/>
    <col min="1541" max="1545" width="15.85546875" style="111" customWidth="1"/>
    <col min="1546" max="1546" width="20.42578125" style="111" customWidth="1"/>
    <col min="1547" max="1547" width="19.85546875" style="111" customWidth="1"/>
    <col min="1548" max="1550" width="12.28515625" style="111" customWidth="1"/>
    <col min="1551" max="1551" width="12.85546875" style="111" customWidth="1"/>
    <col min="1552" max="1552" width="12" style="111" customWidth="1"/>
    <col min="1553" max="1553" width="12.5703125" style="111" customWidth="1"/>
    <col min="1554" max="1554" width="12.28515625" style="111" customWidth="1"/>
    <col min="1555" max="1555" width="12.140625" style="111" customWidth="1"/>
    <col min="1556" max="1557" width="12.28515625" style="111" customWidth="1"/>
    <col min="1558" max="1558" width="21.140625" style="111" customWidth="1"/>
    <col min="1559" max="1795" width="8.7109375" style="111"/>
    <col min="1796" max="1796" width="41.7109375" style="111" customWidth="1"/>
    <col min="1797" max="1801" width="15.85546875" style="111" customWidth="1"/>
    <col min="1802" max="1802" width="20.42578125" style="111" customWidth="1"/>
    <col min="1803" max="1803" width="19.85546875" style="111" customWidth="1"/>
    <col min="1804" max="1806" width="12.28515625" style="111" customWidth="1"/>
    <col min="1807" max="1807" width="12.85546875" style="111" customWidth="1"/>
    <col min="1808" max="1808" width="12" style="111" customWidth="1"/>
    <col min="1809" max="1809" width="12.5703125" style="111" customWidth="1"/>
    <col min="1810" max="1810" width="12.28515625" style="111" customWidth="1"/>
    <col min="1811" max="1811" width="12.140625" style="111" customWidth="1"/>
    <col min="1812" max="1813" width="12.28515625" style="111" customWidth="1"/>
    <col min="1814" max="1814" width="21.140625" style="111" customWidth="1"/>
    <col min="1815" max="2051" width="8.7109375" style="111"/>
    <col min="2052" max="2052" width="41.7109375" style="111" customWidth="1"/>
    <col min="2053" max="2057" width="15.85546875" style="111" customWidth="1"/>
    <col min="2058" max="2058" width="20.42578125" style="111" customWidth="1"/>
    <col min="2059" max="2059" width="19.85546875" style="111" customWidth="1"/>
    <col min="2060" max="2062" width="12.28515625" style="111" customWidth="1"/>
    <col min="2063" max="2063" width="12.85546875" style="111" customWidth="1"/>
    <col min="2064" max="2064" width="12" style="111" customWidth="1"/>
    <col min="2065" max="2065" width="12.5703125" style="111" customWidth="1"/>
    <col min="2066" max="2066" width="12.28515625" style="111" customWidth="1"/>
    <col min="2067" max="2067" width="12.140625" style="111" customWidth="1"/>
    <col min="2068" max="2069" width="12.28515625" style="111" customWidth="1"/>
    <col min="2070" max="2070" width="21.140625" style="111" customWidth="1"/>
    <col min="2071" max="2307" width="8.7109375" style="111"/>
    <col min="2308" max="2308" width="41.7109375" style="111" customWidth="1"/>
    <col min="2309" max="2313" width="15.85546875" style="111" customWidth="1"/>
    <col min="2314" max="2314" width="20.42578125" style="111" customWidth="1"/>
    <col min="2315" max="2315" width="19.85546875" style="111" customWidth="1"/>
    <col min="2316" max="2318" width="12.28515625" style="111" customWidth="1"/>
    <col min="2319" max="2319" width="12.85546875" style="111" customWidth="1"/>
    <col min="2320" max="2320" width="12" style="111" customWidth="1"/>
    <col min="2321" max="2321" width="12.5703125" style="111" customWidth="1"/>
    <col min="2322" max="2322" width="12.28515625" style="111" customWidth="1"/>
    <col min="2323" max="2323" width="12.140625" style="111" customWidth="1"/>
    <col min="2324" max="2325" width="12.28515625" style="111" customWidth="1"/>
    <col min="2326" max="2326" width="21.140625" style="111" customWidth="1"/>
    <col min="2327" max="2563" width="8.7109375" style="111"/>
    <col min="2564" max="2564" width="41.7109375" style="111" customWidth="1"/>
    <col min="2565" max="2569" width="15.85546875" style="111" customWidth="1"/>
    <col min="2570" max="2570" width="20.42578125" style="111" customWidth="1"/>
    <col min="2571" max="2571" width="19.85546875" style="111" customWidth="1"/>
    <col min="2572" max="2574" width="12.28515625" style="111" customWidth="1"/>
    <col min="2575" max="2575" width="12.85546875" style="111" customWidth="1"/>
    <col min="2576" max="2576" width="12" style="111" customWidth="1"/>
    <col min="2577" max="2577" width="12.5703125" style="111" customWidth="1"/>
    <col min="2578" max="2578" width="12.28515625" style="111" customWidth="1"/>
    <col min="2579" max="2579" width="12.140625" style="111" customWidth="1"/>
    <col min="2580" max="2581" width="12.28515625" style="111" customWidth="1"/>
    <col min="2582" max="2582" width="21.140625" style="111" customWidth="1"/>
    <col min="2583" max="2819" width="8.7109375" style="111"/>
    <col min="2820" max="2820" width="41.7109375" style="111" customWidth="1"/>
    <col min="2821" max="2825" width="15.85546875" style="111" customWidth="1"/>
    <col min="2826" max="2826" width="20.42578125" style="111" customWidth="1"/>
    <col min="2827" max="2827" width="19.85546875" style="111" customWidth="1"/>
    <col min="2828" max="2830" width="12.28515625" style="111" customWidth="1"/>
    <col min="2831" max="2831" width="12.85546875" style="111" customWidth="1"/>
    <col min="2832" max="2832" width="12" style="111" customWidth="1"/>
    <col min="2833" max="2833" width="12.5703125" style="111" customWidth="1"/>
    <col min="2834" max="2834" width="12.28515625" style="111" customWidth="1"/>
    <col min="2835" max="2835" width="12.140625" style="111" customWidth="1"/>
    <col min="2836" max="2837" width="12.28515625" style="111" customWidth="1"/>
    <col min="2838" max="2838" width="21.140625" style="111" customWidth="1"/>
    <col min="2839" max="3075" width="8.7109375" style="111"/>
    <col min="3076" max="3076" width="41.7109375" style="111" customWidth="1"/>
    <col min="3077" max="3081" width="15.85546875" style="111" customWidth="1"/>
    <col min="3082" max="3082" width="20.42578125" style="111" customWidth="1"/>
    <col min="3083" max="3083" width="19.85546875" style="111" customWidth="1"/>
    <col min="3084" max="3086" width="12.28515625" style="111" customWidth="1"/>
    <col min="3087" max="3087" width="12.85546875" style="111" customWidth="1"/>
    <col min="3088" max="3088" width="12" style="111" customWidth="1"/>
    <col min="3089" max="3089" width="12.5703125" style="111" customWidth="1"/>
    <col min="3090" max="3090" width="12.28515625" style="111" customWidth="1"/>
    <col min="3091" max="3091" width="12.140625" style="111" customWidth="1"/>
    <col min="3092" max="3093" width="12.28515625" style="111" customWidth="1"/>
    <col min="3094" max="3094" width="21.140625" style="111" customWidth="1"/>
    <col min="3095" max="3331" width="8.7109375" style="111"/>
    <col min="3332" max="3332" width="41.7109375" style="111" customWidth="1"/>
    <col min="3333" max="3337" width="15.85546875" style="111" customWidth="1"/>
    <col min="3338" max="3338" width="20.42578125" style="111" customWidth="1"/>
    <col min="3339" max="3339" width="19.85546875" style="111" customWidth="1"/>
    <col min="3340" max="3342" width="12.28515625" style="111" customWidth="1"/>
    <col min="3343" max="3343" width="12.85546875" style="111" customWidth="1"/>
    <col min="3344" max="3344" width="12" style="111" customWidth="1"/>
    <col min="3345" max="3345" width="12.5703125" style="111" customWidth="1"/>
    <col min="3346" max="3346" width="12.28515625" style="111" customWidth="1"/>
    <col min="3347" max="3347" width="12.140625" style="111" customWidth="1"/>
    <col min="3348" max="3349" width="12.28515625" style="111" customWidth="1"/>
    <col min="3350" max="3350" width="21.140625" style="111" customWidth="1"/>
    <col min="3351" max="3587" width="8.7109375" style="111"/>
    <col min="3588" max="3588" width="41.7109375" style="111" customWidth="1"/>
    <col min="3589" max="3593" width="15.85546875" style="111" customWidth="1"/>
    <col min="3594" max="3594" width="20.42578125" style="111" customWidth="1"/>
    <col min="3595" max="3595" width="19.85546875" style="111" customWidth="1"/>
    <col min="3596" max="3598" width="12.28515625" style="111" customWidth="1"/>
    <col min="3599" max="3599" width="12.85546875" style="111" customWidth="1"/>
    <col min="3600" max="3600" width="12" style="111" customWidth="1"/>
    <col min="3601" max="3601" width="12.5703125" style="111" customWidth="1"/>
    <col min="3602" max="3602" width="12.28515625" style="111" customWidth="1"/>
    <col min="3603" max="3603" width="12.140625" style="111" customWidth="1"/>
    <col min="3604" max="3605" width="12.28515625" style="111" customWidth="1"/>
    <col min="3606" max="3606" width="21.140625" style="111" customWidth="1"/>
    <col min="3607" max="3843" width="8.7109375" style="111"/>
    <col min="3844" max="3844" width="41.7109375" style="111" customWidth="1"/>
    <col min="3845" max="3849" width="15.85546875" style="111" customWidth="1"/>
    <col min="3850" max="3850" width="20.42578125" style="111" customWidth="1"/>
    <col min="3851" max="3851" width="19.85546875" style="111" customWidth="1"/>
    <col min="3852" max="3854" width="12.28515625" style="111" customWidth="1"/>
    <col min="3855" max="3855" width="12.85546875" style="111" customWidth="1"/>
    <col min="3856" max="3856" width="12" style="111" customWidth="1"/>
    <col min="3857" max="3857" width="12.5703125" style="111" customWidth="1"/>
    <col min="3858" max="3858" width="12.28515625" style="111" customWidth="1"/>
    <col min="3859" max="3859" width="12.140625" style="111" customWidth="1"/>
    <col min="3860" max="3861" width="12.28515625" style="111" customWidth="1"/>
    <col min="3862" max="3862" width="21.140625" style="111" customWidth="1"/>
    <col min="3863" max="4099" width="8.7109375" style="111"/>
    <col min="4100" max="4100" width="41.7109375" style="111" customWidth="1"/>
    <col min="4101" max="4105" width="15.85546875" style="111" customWidth="1"/>
    <col min="4106" max="4106" width="20.42578125" style="111" customWidth="1"/>
    <col min="4107" max="4107" width="19.85546875" style="111" customWidth="1"/>
    <col min="4108" max="4110" width="12.28515625" style="111" customWidth="1"/>
    <col min="4111" max="4111" width="12.85546875" style="111" customWidth="1"/>
    <col min="4112" max="4112" width="12" style="111" customWidth="1"/>
    <col min="4113" max="4113" width="12.5703125" style="111" customWidth="1"/>
    <col min="4114" max="4114" width="12.28515625" style="111" customWidth="1"/>
    <col min="4115" max="4115" width="12.140625" style="111" customWidth="1"/>
    <col min="4116" max="4117" width="12.28515625" style="111" customWidth="1"/>
    <col min="4118" max="4118" width="21.140625" style="111" customWidth="1"/>
    <col min="4119" max="4355" width="8.7109375" style="111"/>
    <col min="4356" max="4356" width="41.7109375" style="111" customWidth="1"/>
    <col min="4357" max="4361" width="15.85546875" style="111" customWidth="1"/>
    <col min="4362" max="4362" width="20.42578125" style="111" customWidth="1"/>
    <col min="4363" max="4363" width="19.85546875" style="111" customWidth="1"/>
    <col min="4364" max="4366" width="12.28515625" style="111" customWidth="1"/>
    <col min="4367" max="4367" width="12.85546875" style="111" customWidth="1"/>
    <col min="4368" max="4368" width="12" style="111" customWidth="1"/>
    <col min="4369" max="4369" width="12.5703125" style="111" customWidth="1"/>
    <col min="4370" max="4370" width="12.28515625" style="111" customWidth="1"/>
    <col min="4371" max="4371" width="12.140625" style="111" customWidth="1"/>
    <col min="4372" max="4373" width="12.28515625" style="111" customWidth="1"/>
    <col min="4374" max="4374" width="21.140625" style="111" customWidth="1"/>
    <col min="4375" max="4611" width="8.7109375" style="111"/>
    <col min="4612" max="4612" width="41.7109375" style="111" customWidth="1"/>
    <col min="4613" max="4617" width="15.85546875" style="111" customWidth="1"/>
    <col min="4618" max="4618" width="20.42578125" style="111" customWidth="1"/>
    <col min="4619" max="4619" width="19.85546875" style="111" customWidth="1"/>
    <col min="4620" max="4622" width="12.28515625" style="111" customWidth="1"/>
    <col min="4623" max="4623" width="12.85546875" style="111" customWidth="1"/>
    <col min="4624" max="4624" width="12" style="111" customWidth="1"/>
    <col min="4625" max="4625" width="12.5703125" style="111" customWidth="1"/>
    <col min="4626" max="4626" width="12.28515625" style="111" customWidth="1"/>
    <col min="4627" max="4627" width="12.140625" style="111" customWidth="1"/>
    <col min="4628" max="4629" width="12.28515625" style="111" customWidth="1"/>
    <col min="4630" max="4630" width="21.140625" style="111" customWidth="1"/>
    <col min="4631" max="4867" width="8.7109375" style="111"/>
    <col min="4868" max="4868" width="41.7109375" style="111" customWidth="1"/>
    <col min="4869" max="4873" width="15.85546875" style="111" customWidth="1"/>
    <col min="4874" max="4874" width="20.42578125" style="111" customWidth="1"/>
    <col min="4875" max="4875" width="19.85546875" style="111" customWidth="1"/>
    <col min="4876" max="4878" width="12.28515625" style="111" customWidth="1"/>
    <col min="4879" max="4879" width="12.85546875" style="111" customWidth="1"/>
    <col min="4880" max="4880" width="12" style="111" customWidth="1"/>
    <col min="4881" max="4881" width="12.5703125" style="111" customWidth="1"/>
    <col min="4882" max="4882" width="12.28515625" style="111" customWidth="1"/>
    <col min="4883" max="4883" width="12.140625" style="111" customWidth="1"/>
    <col min="4884" max="4885" width="12.28515625" style="111" customWidth="1"/>
    <col min="4886" max="4886" width="21.140625" style="111" customWidth="1"/>
    <col min="4887" max="5123" width="8.7109375" style="111"/>
    <col min="5124" max="5124" width="41.7109375" style="111" customWidth="1"/>
    <col min="5125" max="5129" width="15.85546875" style="111" customWidth="1"/>
    <col min="5130" max="5130" width="20.42578125" style="111" customWidth="1"/>
    <col min="5131" max="5131" width="19.85546875" style="111" customWidth="1"/>
    <col min="5132" max="5134" width="12.28515625" style="111" customWidth="1"/>
    <col min="5135" max="5135" width="12.85546875" style="111" customWidth="1"/>
    <col min="5136" max="5136" width="12" style="111" customWidth="1"/>
    <col min="5137" max="5137" width="12.5703125" style="111" customWidth="1"/>
    <col min="5138" max="5138" width="12.28515625" style="111" customWidth="1"/>
    <col min="5139" max="5139" width="12.140625" style="111" customWidth="1"/>
    <col min="5140" max="5141" width="12.28515625" style="111" customWidth="1"/>
    <col min="5142" max="5142" width="21.140625" style="111" customWidth="1"/>
    <col min="5143" max="5379" width="8.7109375" style="111"/>
    <col min="5380" max="5380" width="41.7109375" style="111" customWidth="1"/>
    <col min="5381" max="5385" width="15.85546875" style="111" customWidth="1"/>
    <col min="5386" max="5386" width="20.42578125" style="111" customWidth="1"/>
    <col min="5387" max="5387" width="19.85546875" style="111" customWidth="1"/>
    <col min="5388" max="5390" width="12.28515625" style="111" customWidth="1"/>
    <col min="5391" max="5391" width="12.85546875" style="111" customWidth="1"/>
    <col min="5392" max="5392" width="12" style="111" customWidth="1"/>
    <col min="5393" max="5393" width="12.5703125" style="111" customWidth="1"/>
    <col min="5394" max="5394" width="12.28515625" style="111" customWidth="1"/>
    <col min="5395" max="5395" width="12.140625" style="111" customWidth="1"/>
    <col min="5396" max="5397" width="12.28515625" style="111" customWidth="1"/>
    <col min="5398" max="5398" width="21.140625" style="111" customWidth="1"/>
    <col min="5399" max="5635" width="8.7109375" style="111"/>
    <col min="5636" max="5636" width="41.7109375" style="111" customWidth="1"/>
    <col min="5637" max="5641" width="15.85546875" style="111" customWidth="1"/>
    <col min="5642" max="5642" width="20.42578125" style="111" customWidth="1"/>
    <col min="5643" max="5643" width="19.85546875" style="111" customWidth="1"/>
    <col min="5644" max="5646" width="12.28515625" style="111" customWidth="1"/>
    <col min="5647" max="5647" width="12.85546875" style="111" customWidth="1"/>
    <col min="5648" max="5648" width="12" style="111" customWidth="1"/>
    <col min="5649" max="5649" width="12.5703125" style="111" customWidth="1"/>
    <col min="5650" max="5650" width="12.28515625" style="111" customWidth="1"/>
    <col min="5651" max="5651" width="12.140625" style="111" customWidth="1"/>
    <col min="5652" max="5653" width="12.28515625" style="111" customWidth="1"/>
    <col min="5654" max="5654" width="21.140625" style="111" customWidth="1"/>
    <col min="5655" max="5891" width="8.7109375" style="111"/>
    <col min="5892" max="5892" width="41.7109375" style="111" customWidth="1"/>
    <col min="5893" max="5897" width="15.85546875" style="111" customWidth="1"/>
    <col min="5898" max="5898" width="20.42578125" style="111" customWidth="1"/>
    <col min="5899" max="5899" width="19.85546875" style="111" customWidth="1"/>
    <col min="5900" max="5902" width="12.28515625" style="111" customWidth="1"/>
    <col min="5903" max="5903" width="12.85546875" style="111" customWidth="1"/>
    <col min="5904" max="5904" width="12" style="111" customWidth="1"/>
    <col min="5905" max="5905" width="12.5703125" style="111" customWidth="1"/>
    <col min="5906" max="5906" width="12.28515625" style="111" customWidth="1"/>
    <col min="5907" max="5907" width="12.140625" style="111" customWidth="1"/>
    <col min="5908" max="5909" width="12.28515625" style="111" customWidth="1"/>
    <col min="5910" max="5910" width="21.140625" style="111" customWidth="1"/>
    <col min="5911" max="6147" width="8.7109375" style="111"/>
    <col min="6148" max="6148" width="41.7109375" style="111" customWidth="1"/>
    <col min="6149" max="6153" width="15.85546875" style="111" customWidth="1"/>
    <col min="6154" max="6154" width="20.42578125" style="111" customWidth="1"/>
    <col min="6155" max="6155" width="19.85546875" style="111" customWidth="1"/>
    <col min="6156" max="6158" width="12.28515625" style="111" customWidth="1"/>
    <col min="6159" max="6159" width="12.85546875" style="111" customWidth="1"/>
    <col min="6160" max="6160" width="12" style="111" customWidth="1"/>
    <col min="6161" max="6161" width="12.5703125" style="111" customWidth="1"/>
    <col min="6162" max="6162" width="12.28515625" style="111" customWidth="1"/>
    <col min="6163" max="6163" width="12.140625" style="111" customWidth="1"/>
    <col min="6164" max="6165" width="12.28515625" style="111" customWidth="1"/>
    <col min="6166" max="6166" width="21.140625" style="111" customWidth="1"/>
    <col min="6167" max="6403" width="8.7109375" style="111"/>
    <col min="6404" max="6404" width="41.7109375" style="111" customWidth="1"/>
    <col min="6405" max="6409" width="15.85546875" style="111" customWidth="1"/>
    <col min="6410" max="6410" width="20.42578125" style="111" customWidth="1"/>
    <col min="6411" max="6411" width="19.85546875" style="111" customWidth="1"/>
    <col min="6412" max="6414" width="12.28515625" style="111" customWidth="1"/>
    <col min="6415" max="6415" width="12.85546875" style="111" customWidth="1"/>
    <col min="6416" max="6416" width="12" style="111" customWidth="1"/>
    <col min="6417" max="6417" width="12.5703125" style="111" customWidth="1"/>
    <col min="6418" max="6418" width="12.28515625" style="111" customWidth="1"/>
    <col min="6419" max="6419" width="12.140625" style="111" customWidth="1"/>
    <col min="6420" max="6421" width="12.28515625" style="111" customWidth="1"/>
    <col min="6422" max="6422" width="21.140625" style="111" customWidth="1"/>
    <col min="6423" max="6659" width="8.7109375" style="111"/>
    <col min="6660" max="6660" width="41.7109375" style="111" customWidth="1"/>
    <col min="6661" max="6665" width="15.85546875" style="111" customWidth="1"/>
    <col min="6666" max="6666" width="20.42578125" style="111" customWidth="1"/>
    <col min="6667" max="6667" width="19.85546875" style="111" customWidth="1"/>
    <col min="6668" max="6670" width="12.28515625" style="111" customWidth="1"/>
    <col min="6671" max="6671" width="12.85546875" style="111" customWidth="1"/>
    <col min="6672" max="6672" width="12" style="111" customWidth="1"/>
    <col min="6673" max="6673" width="12.5703125" style="111" customWidth="1"/>
    <col min="6674" max="6674" width="12.28515625" style="111" customWidth="1"/>
    <col min="6675" max="6675" width="12.140625" style="111" customWidth="1"/>
    <col min="6676" max="6677" width="12.28515625" style="111" customWidth="1"/>
    <col min="6678" max="6678" width="21.140625" style="111" customWidth="1"/>
    <col min="6679" max="6915" width="8.7109375" style="111"/>
    <col min="6916" max="6916" width="41.7109375" style="111" customWidth="1"/>
    <col min="6917" max="6921" width="15.85546875" style="111" customWidth="1"/>
    <col min="6922" max="6922" width="20.42578125" style="111" customWidth="1"/>
    <col min="6923" max="6923" width="19.85546875" style="111" customWidth="1"/>
    <col min="6924" max="6926" width="12.28515625" style="111" customWidth="1"/>
    <col min="6927" max="6927" width="12.85546875" style="111" customWidth="1"/>
    <col min="6928" max="6928" width="12" style="111" customWidth="1"/>
    <col min="6929" max="6929" width="12.5703125" style="111" customWidth="1"/>
    <col min="6930" max="6930" width="12.28515625" style="111" customWidth="1"/>
    <col min="6931" max="6931" width="12.140625" style="111" customWidth="1"/>
    <col min="6932" max="6933" width="12.28515625" style="111" customWidth="1"/>
    <col min="6934" max="6934" width="21.140625" style="111" customWidth="1"/>
    <col min="6935" max="7171" width="8.7109375" style="111"/>
    <col min="7172" max="7172" width="41.7109375" style="111" customWidth="1"/>
    <col min="7173" max="7177" width="15.85546875" style="111" customWidth="1"/>
    <col min="7178" max="7178" width="20.42578125" style="111" customWidth="1"/>
    <col min="7179" max="7179" width="19.85546875" style="111" customWidth="1"/>
    <col min="7180" max="7182" width="12.28515625" style="111" customWidth="1"/>
    <col min="7183" max="7183" width="12.85546875" style="111" customWidth="1"/>
    <col min="7184" max="7184" width="12" style="111" customWidth="1"/>
    <col min="7185" max="7185" width="12.5703125" style="111" customWidth="1"/>
    <col min="7186" max="7186" width="12.28515625" style="111" customWidth="1"/>
    <col min="7187" max="7187" width="12.140625" style="111" customWidth="1"/>
    <col min="7188" max="7189" width="12.28515625" style="111" customWidth="1"/>
    <col min="7190" max="7190" width="21.140625" style="111" customWidth="1"/>
    <col min="7191" max="7427" width="8.7109375" style="111"/>
    <col min="7428" max="7428" width="41.7109375" style="111" customWidth="1"/>
    <col min="7429" max="7433" width="15.85546875" style="111" customWidth="1"/>
    <col min="7434" max="7434" width="20.42578125" style="111" customWidth="1"/>
    <col min="7435" max="7435" width="19.85546875" style="111" customWidth="1"/>
    <col min="7436" max="7438" width="12.28515625" style="111" customWidth="1"/>
    <col min="7439" max="7439" width="12.85546875" style="111" customWidth="1"/>
    <col min="7440" max="7440" width="12" style="111" customWidth="1"/>
    <col min="7441" max="7441" width="12.5703125" style="111" customWidth="1"/>
    <col min="7442" max="7442" width="12.28515625" style="111" customWidth="1"/>
    <col min="7443" max="7443" width="12.140625" style="111" customWidth="1"/>
    <col min="7444" max="7445" width="12.28515625" style="111" customWidth="1"/>
    <col min="7446" max="7446" width="21.140625" style="111" customWidth="1"/>
    <col min="7447" max="7683" width="8.7109375" style="111"/>
    <col min="7684" max="7684" width="41.7109375" style="111" customWidth="1"/>
    <col min="7685" max="7689" width="15.85546875" style="111" customWidth="1"/>
    <col min="7690" max="7690" width="20.42578125" style="111" customWidth="1"/>
    <col min="7691" max="7691" width="19.85546875" style="111" customWidth="1"/>
    <col min="7692" max="7694" width="12.28515625" style="111" customWidth="1"/>
    <col min="7695" max="7695" width="12.85546875" style="111" customWidth="1"/>
    <col min="7696" max="7696" width="12" style="111" customWidth="1"/>
    <col min="7697" max="7697" width="12.5703125" style="111" customWidth="1"/>
    <col min="7698" max="7698" width="12.28515625" style="111" customWidth="1"/>
    <col min="7699" max="7699" width="12.140625" style="111" customWidth="1"/>
    <col min="7700" max="7701" width="12.28515625" style="111" customWidth="1"/>
    <col min="7702" max="7702" width="21.140625" style="111" customWidth="1"/>
    <col min="7703" max="7939" width="8.7109375" style="111"/>
    <col min="7940" max="7940" width="41.7109375" style="111" customWidth="1"/>
    <col min="7941" max="7945" width="15.85546875" style="111" customWidth="1"/>
    <col min="7946" max="7946" width="20.42578125" style="111" customWidth="1"/>
    <col min="7947" max="7947" width="19.85546875" style="111" customWidth="1"/>
    <col min="7948" max="7950" width="12.28515625" style="111" customWidth="1"/>
    <col min="7951" max="7951" width="12.85546875" style="111" customWidth="1"/>
    <col min="7952" max="7952" width="12" style="111" customWidth="1"/>
    <col min="7953" max="7953" width="12.5703125" style="111" customWidth="1"/>
    <col min="7954" max="7954" width="12.28515625" style="111" customWidth="1"/>
    <col min="7955" max="7955" width="12.140625" style="111" customWidth="1"/>
    <col min="7956" max="7957" width="12.28515625" style="111" customWidth="1"/>
    <col min="7958" max="7958" width="21.140625" style="111" customWidth="1"/>
    <col min="7959" max="8195" width="8.7109375" style="111"/>
    <col min="8196" max="8196" width="41.7109375" style="111" customWidth="1"/>
    <col min="8197" max="8201" width="15.85546875" style="111" customWidth="1"/>
    <col min="8202" max="8202" width="20.42578125" style="111" customWidth="1"/>
    <col min="8203" max="8203" width="19.85546875" style="111" customWidth="1"/>
    <col min="8204" max="8206" width="12.28515625" style="111" customWidth="1"/>
    <col min="8207" max="8207" width="12.85546875" style="111" customWidth="1"/>
    <col min="8208" max="8208" width="12" style="111" customWidth="1"/>
    <col min="8209" max="8209" width="12.5703125" style="111" customWidth="1"/>
    <col min="8210" max="8210" width="12.28515625" style="111" customWidth="1"/>
    <col min="8211" max="8211" width="12.140625" style="111" customWidth="1"/>
    <col min="8212" max="8213" width="12.28515625" style="111" customWidth="1"/>
    <col min="8214" max="8214" width="21.140625" style="111" customWidth="1"/>
    <col min="8215" max="8451" width="8.7109375" style="111"/>
    <col min="8452" max="8452" width="41.7109375" style="111" customWidth="1"/>
    <col min="8453" max="8457" width="15.85546875" style="111" customWidth="1"/>
    <col min="8458" max="8458" width="20.42578125" style="111" customWidth="1"/>
    <col min="8459" max="8459" width="19.85546875" style="111" customWidth="1"/>
    <col min="8460" max="8462" width="12.28515625" style="111" customWidth="1"/>
    <col min="8463" max="8463" width="12.85546875" style="111" customWidth="1"/>
    <col min="8464" max="8464" width="12" style="111" customWidth="1"/>
    <col min="8465" max="8465" width="12.5703125" style="111" customWidth="1"/>
    <col min="8466" max="8466" width="12.28515625" style="111" customWidth="1"/>
    <col min="8467" max="8467" width="12.140625" style="111" customWidth="1"/>
    <col min="8468" max="8469" width="12.28515625" style="111" customWidth="1"/>
    <col min="8470" max="8470" width="21.140625" style="111" customWidth="1"/>
    <col min="8471" max="8707" width="8.7109375" style="111"/>
    <col min="8708" max="8708" width="41.7109375" style="111" customWidth="1"/>
    <col min="8709" max="8713" width="15.85546875" style="111" customWidth="1"/>
    <col min="8714" max="8714" width="20.42578125" style="111" customWidth="1"/>
    <col min="8715" max="8715" width="19.85546875" style="111" customWidth="1"/>
    <col min="8716" max="8718" width="12.28515625" style="111" customWidth="1"/>
    <col min="8719" max="8719" width="12.85546875" style="111" customWidth="1"/>
    <col min="8720" max="8720" width="12" style="111" customWidth="1"/>
    <col min="8721" max="8721" width="12.5703125" style="111" customWidth="1"/>
    <col min="8722" max="8722" width="12.28515625" style="111" customWidth="1"/>
    <col min="8723" max="8723" width="12.140625" style="111" customWidth="1"/>
    <col min="8724" max="8725" width="12.28515625" style="111" customWidth="1"/>
    <col min="8726" max="8726" width="21.140625" style="111" customWidth="1"/>
    <col min="8727" max="8963" width="8.7109375" style="111"/>
    <col min="8964" max="8964" width="41.7109375" style="111" customWidth="1"/>
    <col min="8965" max="8969" width="15.85546875" style="111" customWidth="1"/>
    <col min="8970" max="8970" width="20.42578125" style="111" customWidth="1"/>
    <col min="8971" max="8971" width="19.85546875" style="111" customWidth="1"/>
    <col min="8972" max="8974" width="12.28515625" style="111" customWidth="1"/>
    <col min="8975" max="8975" width="12.85546875" style="111" customWidth="1"/>
    <col min="8976" max="8976" width="12" style="111" customWidth="1"/>
    <col min="8977" max="8977" width="12.5703125" style="111" customWidth="1"/>
    <col min="8978" max="8978" width="12.28515625" style="111" customWidth="1"/>
    <col min="8979" max="8979" width="12.140625" style="111" customWidth="1"/>
    <col min="8980" max="8981" width="12.28515625" style="111" customWidth="1"/>
    <col min="8982" max="8982" width="21.140625" style="111" customWidth="1"/>
    <col min="8983" max="9219" width="8.7109375" style="111"/>
    <col min="9220" max="9220" width="41.7109375" style="111" customWidth="1"/>
    <col min="9221" max="9225" width="15.85546875" style="111" customWidth="1"/>
    <col min="9226" max="9226" width="20.42578125" style="111" customWidth="1"/>
    <col min="9227" max="9227" width="19.85546875" style="111" customWidth="1"/>
    <col min="9228" max="9230" width="12.28515625" style="111" customWidth="1"/>
    <col min="9231" max="9231" width="12.85546875" style="111" customWidth="1"/>
    <col min="9232" max="9232" width="12" style="111" customWidth="1"/>
    <col min="9233" max="9233" width="12.5703125" style="111" customWidth="1"/>
    <col min="9234" max="9234" width="12.28515625" style="111" customWidth="1"/>
    <col min="9235" max="9235" width="12.140625" style="111" customWidth="1"/>
    <col min="9236" max="9237" width="12.28515625" style="111" customWidth="1"/>
    <col min="9238" max="9238" width="21.140625" style="111" customWidth="1"/>
    <col min="9239" max="9475" width="8.7109375" style="111"/>
    <col min="9476" max="9476" width="41.7109375" style="111" customWidth="1"/>
    <col min="9477" max="9481" width="15.85546875" style="111" customWidth="1"/>
    <col min="9482" max="9482" width="20.42578125" style="111" customWidth="1"/>
    <col min="9483" max="9483" width="19.85546875" style="111" customWidth="1"/>
    <col min="9484" max="9486" width="12.28515625" style="111" customWidth="1"/>
    <col min="9487" max="9487" width="12.85546875" style="111" customWidth="1"/>
    <col min="9488" max="9488" width="12" style="111" customWidth="1"/>
    <col min="9489" max="9489" width="12.5703125" style="111" customWidth="1"/>
    <col min="9490" max="9490" width="12.28515625" style="111" customWidth="1"/>
    <col min="9491" max="9491" width="12.140625" style="111" customWidth="1"/>
    <col min="9492" max="9493" width="12.28515625" style="111" customWidth="1"/>
    <col min="9494" max="9494" width="21.140625" style="111" customWidth="1"/>
    <col min="9495" max="9731" width="8.7109375" style="111"/>
    <col min="9732" max="9732" width="41.7109375" style="111" customWidth="1"/>
    <col min="9733" max="9737" width="15.85546875" style="111" customWidth="1"/>
    <col min="9738" max="9738" width="20.42578125" style="111" customWidth="1"/>
    <col min="9739" max="9739" width="19.85546875" style="111" customWidth="1"/>
    <col min="9740" max="9742" width="12.28515625" style="111" customWidth="1"/>
    <col min="9743" max="9743" width="12.85546875" style="111" customWidth="1"/>
    <col min="9744" max="9744" width="12" style="111" customWidth="1"/>
    <col min="9745" max="9745" width="12.5703125" style="111" customWidth="1"/>
    <col min="9746" max="9746" width="12.28515625" style="111" customWidth="1"/>
    <col min="9747" max="9747" width="12.140625" style="111" customWidth="1"/>
    <col min="9748" max="9749" width="12.28515625" style="111" customWidth="1"/>
    <col min="9750" max="9750" width="21.140625" style="111" customWidth="1"/>
    <col min="9751" max="9987" width="8.7109375" style="111"/>
    <col min="9988" max="9988" width="41.7109375" style="111" customWidth="1"/>
    <col min="9989" max="9993" width="15.85546875" style="111" customWidth="1"/>
    <col min="9994" max="9994" width="20.42578125" style="111" customWidth="1"/>
    <col min="9995" max="9995" width="19.85546875" style="111" customWidth="1"/>
    <col min="9996" max="9998" width="12.28515625" style="111" customWidth="1"/>
    <col min="9999" max="9999" width="12.85546875" style="111" customWidth="1"/>
    <col min="10000" max="10000" width="12" style="111" customWidth="1"/>
    <col min="10001" max="10001" width="12.5703125" style="111" customWidth="1"/>
    <col min="10002" max="10002" width="12.28515625" style="111" customWidth="1"/>
    <col min="10003" max="10003" width="12.140625" style="111" customWidth="1"/>
    <col min="10004" max="10005" width="12.28515625" style="111" customWidth="1"/>
    <col min="10006" max="10006" width="21.140625" style="111" customWidth="1"/>
    <col min="10007" max="10243" width="8.7109375" style="111"/>
    <col min="10244" max="10244" width="41.7109375" style="111" customWidth="1"/>
    <col min="10245" max="10249" width="15.85546875" style="111" customWidth="1"/>
    <col min="10250" max="10250" width="20.42578125" style="111" customWidth="1"/>
    <col min="10251" max="10251" width="19.85546875" style="111" customWidth="1"/>
    <col min="10252" max="10254" width="12.28515625" style="111" customWidth="1"/>
    <col min="10255" max="10255" width="12.85546875" style="111" customWidth="1"/>
    <col min="10256" max="10256" width="12" style="111" customWidth="1"/>
    <col min="10257" max="10257" width="12.5703125" style="111" customWidth="1"/>
    <col min="10258" max="10258" width="12.28515625" style="111" customWidth="1"/>
    <col min="10259" max="10259" width="12.140625" style="111" customWidth="1"/>
    <col min="10260" max="10261" width="12.28515625" style="111" customWidth="1"/>
    <col min="10262" max="10262" width="21.140625" style="111" customWidth="1"/>
    <col min="10263" max="10499" width="8.7109375" style="111"/>
    <col min="10500" max="10500" width="41.7109375" style="111" customWidth="1"/>
    <col min="10501" max="10505" width="15.85546875" style="111" customWidth="1"/>
    <col min="10506" max="10506" width="20.42578125" style="111" customWidth="1"/>
    <col min="10507" max="10507" width="19.85546875" style="111" customWidth="1"/>
    <col min="10508" max="10510" width="12.28515625" style="111" customWidth="1"/>
    <col min="10511" max="10511" width="12.85546875" style="111" customWidth="1"/>
    <col min="10512" max="10512" width="12" style="111" customWidth="1"/>
    <col min="10513" max="10513" width="12.5703125" style="111" customWidth="1"/>
    <col min="10514" max="10514" width="12.28515625" style="111" customWidth="1"/>
    <col min="10515" max="10515" width="12.140625" style="111" customWidth="1"/>
    <col min="10516" max="10517" width="12.28515625" style="111" customWidth="1"/>
    <col min="10518" max="10518" width="21.140625" style="111" customWidth="1"/>
    <col min="10519" max="10755" width="8.7109375" style="111"/>
    <col min="10756" max="10756" width="41.7109375" style="111" customWidth="1"/>
    <col min="10757" max="10761" width="15.85546875" style="111" customWidth="1"/>
    <col min="10762" max="10762" width="20.42578125" style="111" customWidth="1"/>
    <col min="10763" max="10763" width="19.85546875" style="111" customWidth="1"/>
    <col min="10764" max="10766" width="12.28515625" style="111" customWidth="1"/>
    <col min="10767" max="10767" width="12.85546875" style="111" customWidth="1"/>
    <col min="10768" max="10768" width="12" style="111" customWidth="1"/>
    <col min="10769" max="10769" width="12.5703125" style="111" customWidth="1"/>
    <col min="10770" max="10770" width="12.28515625" style="111" customWidth="1"/>
    <col min="10771" max="10771" width="12.140625" style="111" customWidth="1"/>
    <col min="10772" max="10773" width="12.28515625" style="111" customWidth="1"/>
    <col min="10774" max="10774" width="21.140625" style="111" customWidth="1"/>
    <col min="10775" max="11011" width="8.7109375" style="111"/>
    <col min="11012" max="11012" width="41.7109375" style="111" customWidth="1"/>
    <col min="11013" max="11017" width="15.85546875" style="111" customWidth="1"/>
    <col min="11018" max="11018" width="20.42578125" style="111" customWidth="1"/>
    <col min="11019" max="11019" width="19.85546875" style="111" customWidth="1"/>
    <col min="11020" max="11022" width="12.28515625" style="111" customWidth="1"/>
    <col min="11023" max="11023" width="12.85546875" style="111" customWidth="1"/>
    <col min="11024" max="11024" width="12" style="111" customWidth="1"/>
    <col min="11025" max="11025" width="12.5703125" style="111" customWidth="1"/>
    <col min="11026" max="11026" width="12.28515625" style="111" customWidth="1"/>
    <col min="11027" max="11027" width="12.140625" style="111" customWidth="1"/>
    <col min="11028" max="11029" width="12.28515625" style="111" customWidth="1"/>
    <col min="11030" max="11030" width="21.140625" style="111" customWidth="1"/>
    <col min="11031" max="11267" width="8.7109375" style="111"/>
    <col min="11268" max="11268" width="41.7109375" style="111" customWidth="1"/>
    <col min="11269" max="11273" width="15.85546875" style="111" customWidth="1"/>
    <col min="11274" max="11274" width="20.42578125" style="111" customWidth="1"/>
    <col min="11275" max="11275" width="19.85546875" style="111" customWidth="1"/>
    <col min="11276" max="11278" width="12.28515625" style="111" customWidth="1"/>
    <col min="11279" max="11279" width="12.85546875" style="111" customWidth="1"/>
    <col min="11280" max="11280" width="12" style="111" customWidth="1"/>
    <col min="11281" max="11281" width="12.5703125" style="111" customWidth="1"/>
    <col min="11282" max="11282" width="12.28515625" style="111" customWidth="1"/>
    <col min="11283" max="11283" width="12.140625" style="111" customWidth="1"/>
    <col min="11284" max="11285" width="12.28515625" style="111" customWidth="1"/>
    <col min="11286" max="11286" width="21.140625" style="111" customWidth="1"/>
    <col min="11287" max="11523" width="8.7109375" style="111"/>
    <col min="11524" max="11524" width="41.7109375" style="111" customWidth="1"/>
    <col min="11525" max="11529" width="15.85546875" style="111" customWidth="1"/>
    <col min="11530" max="11530" width="20.42578125" style="111" customWidth="1"/>
    <col min="11531" max="11531" width="19.85546875" style="111" customWidth="1"/>
    <col min="11532" max="11534" width="12.28515625" style="111" customWidth="1"/>
    <col min="11535" max="11535" width="12.85546875" style="111" customWidth="1"/>
    <col min="11536" max="11536" width="12" style="111" customWidth="1"/>
    <col min="11537" max="11537" width="12.5703125" style="111" customWidth="1"/>
    <col min="11538" max="11538" width="12.28515625" style="111" customWidth="1"/>
    <col min="11539" max="11539" width="12.140625" style="111" customWidth="1"/>
    <col min="11540" max="11541" width="12.28515625" style="111" customWidth="1"/>
    <col min="11542" max="11542" width="21.140625" style="111" customWidth="1"/>
    <col min="11543" max="11779" width="8.7109375" style="111"/>
    <col min="11780" max="11780" width="41.7109375" style="111" customWidth="1"/>
    <col min="11781" max="11785" width="15.85546875" style="111" customWidth="1"/>
    <col min="11786" max="11786" width="20.42578125" style="111" customWidth="1"/>
    <col min="11787" max="11787" width="19.85546875" style="111" customWidth="1"/>
    <col min="11788" max="11790" width="12.28515625" style="111" customWidth="1"/>
    <col min="11791" max="11791" width="12.85546875" style="111" customWidth="1"/>
    <col min="11792" max="11792" width="12" style="111" customWidth="1"/>
    <col min="11793" max="11793" width="12.5703125" style="111" customWidth="1"/>
    <col min="11794" max="11794" width="12.28515625" style="111" customWidth="1"/>
    <col min="11795" max="11795" width="12.140625" style="111" customWidth="1"/>
    <col min="11796" max="11797" width="12.28515625" style="111" customWidth="1"/>
    <col min="11798" max="11798" width="21.140625" style="111" customWidth="1"/>
    <col min="11799" max="12035" width="8.7109375" style="111"/>
    <col min="12036" max="12036" width="41.7109375" style="111" customWidth="1"/>
    <col min="12037" max="12041" width="15.85546875" style="111" customWidth="1"/>
    <col min="12042" max="12042" width="20.42578125" style="111" customWidth="1"/>
    <col min="12043" max="12043" width="19.85546875" style="111" customWidth="1"/>
    <col min="12044" max="12046" width="12.28515625" style="111" customWidth="1"/>
    <col min="12047" max="12047" width="12.85546875" style="111" customWidth="1"/>
    <col min="12048" max="12048" width="12" style="111" customWidth="1"/>
    <col min="12049" max="12049" width="12.5703125" style="111" customWidth="1"/>
    <col min="12050" max="12050" width="12.28515625" style="111" customWidth="1"/>
    <col min="12051" max="12051" width="12.140625" style="111" customWidth="1"/>
    <col min="12052" max="12053" width="12.28515625" style="111" customWidth="1"/>
    <col min="12054" max="12054" width="21.140625" style="111" customWidth="1"/>
    <col min="12055" max="12291" width="8.7109375" style="111"/>
    <col min="12292" max="12292" width="41.7109375" style="111" customWidth="1"/>
    <col min="12293" max="12297" width="15.85546875" style="111" customWidth="1"/>
    <col min="12298" max="12298" width="20.42578125" style="111" customWidth="1"/>
    <col min="12299" max="12299" width="19.85546875" style="111" customWidth="1"/>
    <col min="12300" max="12302" width="12.28515625" style="111" customWidth="1"/>
    <col min="12303" max="12303" width="12.85546875" style="111" customWidth="1"/>
    <col min="12304" max="12304" width="12" style="111" customWidth="1"/>
    <col min="12305" max="12305" width="12.5703125" style="111" customWidth="1"/>
    <col min="12306" max="12306" width="12.28515625" style="111" customWidth="1"/>
    <col min="12307" max="12307" width="12.140625" style="111" customWidth="1"/>
    <col min="12308" max="12309" width="12.28515625" style="111" customWidth="1"/>
    <col min="12310" max="12310" width="21.140625" style="111" customWidth="1"/>
    <col min="12311" max="12547" width="8.7109375" style="111"/>
    <col min="12548" max="12548" width="41.7109375" style="111" customWidth="1"/>
    <col min="12549" max="12553" width="15.85546875" style="111" customWidth="1"/>
    <col min="12554" max="12554" width="20.42578125" style="111" customWidth="1"/>
    <col min="12555" max="12555" width="19.85546875" style="111" customWidth="1"/>
    <col min="12556" max="12558" width="12.28515625" style="111" customWidth="1"/>
    <col min="12559" max="12559" width="12.85546875" style="111" customWidth="1"/>
    <col min="12560" max="12560" width="12" style="111" customWidth="1"/>
    <col min="12561" max="12561" width="12.5703125" style="111" customWidth="1"/>
    <col min="12562" max="12562" width="12.28515625" style="111" customWidth="1"/>
    <col min="12563" max="12563" width="12.140625" style="111" customWidth="1"/>
    <col min="12564" max="12565" width="12.28515625" style="111" customWidth="1"/>
    <col min="12566" max="12566" width="21.140625" style="111" customWidth="1"/>
    <col min="12567" max="12803" width="8.7109375" style="111"/>
    <col min="12804" max="12804" width="41.7109375" style="111" customWidth="1"/>
    <col min="12805" max="12809" width="15.85546875" style="111" customWidth="1"/>
    <col min="12810" max="12810" width="20.42578125" style="111" customWidth="1"/>
    <col min="12811" max="12811" width="19.85546875" style="111" customWidth="1"/>
    <col min="12812" max="12814" width="12.28515625" style="111" customWidth="1"/>
    <col min="12815" max="12815" width="12.85546875" style="111" customWidth="1"/>
    <col min="12816" max="12816" width="12" style="111" customWidth="1"/>
    <col min="12817" max="12817" width="12.5703125" style="111" customWidth="1"/>
    <col min="12818" max="12818" width="12.28515625" style="111" customWidth="1"/>
    <col min="12819" max="12819" width="12.140625" style="111" customWidth="1"/>
    <col min="12820" max="12821" width="12.28515625" style="111" customWidth="1"/>
    <col min="12822" max="12822" width="21.140625" style="111" customWidth="1"/>
    <col min="12823" max="13059" width="8.7109375" style="111"/>
    <col min="13060" max="13060" width="41.7109375" style="111" customWidth="1"/>
    <col min="13061" max="13065" width="15.85546875" style="111" customWidth="1"/>
    <col min="13066" max="13066" width="20.42578125" style="111" customWidth="1"/>
    <col min="13067" max="13067" width="19.85546875" style="111" customWidth="1"/>
    <col min="13068" max="13070" width="12.28515625" style="111" customWidth="1"/>
    <col min="13071" max="13071" width="12.85546875" style="111" customWidth="1"/>
    <col min="13072" max="13072" width="12" style="111" customWidth="1"/>
    <col min="13073" max="13073" width="12.5703125" style="111" customWidth="1"/>
    <col min="13074" max="13074" width="12.28515625" style="111" customWidth="1"/>
    <col min="13075" max="13075" width="12.140625" style="111" customWidth="1"/>
    <col min="13076" max="13077" width="12.28515625" style="111" customWidth="1"/>
    <col min="13078" max="13078" width="21.140625" style="111" customWidth="1"/>
    <col min="13079" max="13315" width="8.7109375" style="111"/>
    <col min="13316" max="13316" width="41.7109375" style="111" customWidth="1"/>
    <col min="13317" max="13321" width="15.85546875" style="111" customWidth="1"/>
    <col min="13322" max="13322" width="20.42578125" style="111" customWidth="1"/>
    <col min="13323" max="13323" width="19.85546875" style="111" customWidth="1"/>
    <col min="13324" max="13326" width="12.28515625" style="111" customWidth="1"/>
    <col min="13327" max="13327" width="12.85546875" style="111" customWidth="1"/>
    <col min="13328" max="13328" width="12" style="111" customWidth="1"/>
    <col min="13329" max="13329" width="12.5703125" style="111" customWidth="1"/>
    <col min="13330" max="13330" width="12.28515625" style="111" customWidth="1"/>
    <col min="13331" max="13331" width="12.140625" style="111" customWidth="1"/>
    <col min="13332" max="13333" width="12.28515625" style="111" customWidth="1"/>
    <col min="13334" max="13334" width="21.140625" style="111" customWidth="1"/>
    <col min="13335" max="13571" width="8.7109375" style="111"/>
    <col min="13572" max="13572" width="41.7109375" style="111" customWidth="1"/>
    <col min="13573" max="13577" width="15.85546875" style="111" customWidth="1"/>
    <col min="13578" max="13578" width="20.42578125" style="111" customWidth="1"/>
    <col min="13579" max="13579" width="19.85546875" style="111" customWidth="1"/>
    <col min="13580" max="13582" width="12.28515625" style="111" customWidth="1"/>
    <col min="13583" max="13583" width="12.85546875" style="111" customWidth="1"/>
    <col min="13584" max="13584" width="12" style="111" customWidth="1"/>
    <col min="13585" max="13585" width="12.5703125" style="111" customWidth="1"/>
    <col min="13586" max="13586" width="12.28515625" style="111" customWidth="1"/>
    <col min="13587" max="13587" width="12.140625" style="111" customWidth="1"/>
    <col min="13588" max="13589" width="12.28515625" style="111" customWidth="1"/>
    <col min="13590" max="13590" width="21.140625" style="111" customWidth="1"/>
    <col min="13591" max="13827" width="8.7109375" style="111"/>
    <col min="13828" max="13828" width="41.7109375" style="111" customWidth="1"/>
    <col min="13829" max="13833" width="15.85546875" style="111" customWidth="1"/>
    <col min="13834" max="13834" width="20.42578125" style="111" customWidth="1"/>
    <col min="13835" max="13835" width="19.85546875" style="111" customWidth="1"/>
    <col min="13836" max="13838" width="12.28515625" style="111" customWidth="1"/>
    <col min="13839" max="13839" width="12.85546875" style="111" customWidth="1"/>
    <col min="13840" max="13840" width="12" style="111" customWidth="1"/>
    <col min="13841" max="13841" width="12.5703125" style="111" customWidth="1"/>
    <col min="13842" max="13842" width="12.28515625" style="111" customWidth="1"/>
    <col min="13843" max="13843" width="12.140625" style="111" customWidth="1"/>
    <col min="13844" max="13845" width="12.28515625" style="111" customWidth="1"/>
    <col min="13846" max="13846" width="21.140625" style="111" customWidth="1"/>
    <col min="13847" max="14083" width="8.7109375" style="111"/>
    <col min="14084" max="14084" width="41.7109375" style="111" customWidth="1"/>
    <col min="14085" max="14089" width="15.85546875" style="111" customWidth="1"/>
    <col min="14090" max="14090" width="20.42578125" style="111" customWidth="1"/>
    <col min="14091" max="14091" width="19.85546875" style="111" customWidth="1"/>
    <col min="14092" max="14094" width="12.28515625" style="111" customWidth="1"/>
    <col min="14095" max="14095" width="12.85546875" style="111" customWidth="1"/>
    <col min="14096" max="14096" width="12" style="111" customWidth="1"/>
    <col min="14097" max="14097" width="12.5703125" style="111" customWidth="1"/>
    <col min="14098" max="14098" width="12.28515625" style="111" customWidth="1"/>
    <col min="14099" max="14099" width="12.140625" style="111" customWidth="1"/>
    <col min="14100" max="14101" width="12.28515625" style="111" customWidth="1"/>
    <col min="14102" max="14102" width="21.140625" style="111" customWidth="1"/>
    <col min="14103" max="14339" width="8.7109375" style="111"/>
    <col min="14340" max="14340" width="41.7109375" style="111" customWidth="1"/>
    <col min="14341" max="14345" width="15.85546875" style="111" customWidth="1"/>
    <col min="14346" max="14346" width="20.42578125" style="111" customWidth="1"/>
    <col min="14347" max="14347" width="19.85546875" style="111" customWidth="1"/>
    <col min="14348" max="14350" width="12.28515625" style="111" customWidth="1"/>
    <col min="14351" max="14351" width="12.85546875" style="111" customWidth="1"/>
    <col min="14352" max="14352" width="12" style="111" customWidth="1"/>
    <col min="14353" max="14353" width="12.5703125" style="111" customWidth="1"/>
    <col min="14354" max="14354" width="12.28515625" style="111" customWidth="1"/>
    <col min="14355" max="14355" width="12.140625" style="111" customWidth="1"/>
    <col min="14356" max="14357" width="12.28515625" style="111" customWidth="1"/>
    <col min="14358" max="14358" width="21.140625" style="111" customWidth="1"/>
    <col min="14359" max="14595" width="8.7109375" style="111"/>
    <col min="14596" max="14596" width="41.7109375" style="111" customWidth="1"/>
    <col min="14597" max="14601" width="15.85546875" style="111" customWidth="1"/>
    <col min="14602" max="14602" width="20.42578125" style="111" customWidth="1"/>
    <col min="14603" max="14603" width="19.85546875" style="111" customWidth="1"/>
    <col min="14604" max="14606" width="12.28515625" style="111" customWidth="1"/>
    <col min="14607" max="14607" width="12.85546875" style="111" customWidth="1"/>
    <col min="14608" max="14608" width="12" style="111" customWidth="1"/>
    <col min="14609" max="14609" width="12.5703125" style="111" customWidth="1"/>
    <col min="14610" max="14610" width="12.28515625" style="111" customWidth="1"/>
    <col min="14611" max="14611" width="12.140625" style="111" customWidth="1"/>
    <col min="14612" max="14613" width="12.28515625" style="111" customWidth="1"/>
    <col min="14614" max="14614" width="21.140625" style="111" customWidth="1"/>
    <col min="14615" max="14851" width="8.7109375" style="111"/>
    <col min="14852" max="14852" width="41.7109375" style="111" customWidth="1"/>
    <col min="14853" max="14857" width="15.85546875" style="111" customWidth="1"/>
    <col min="14858" max="14858" width="20.42578125" style="111" customWidth="1"/>
    <col min="14859" max="14859" width="19.85546875" style="111" customWidth="1"/>
    <col min="14860" max="14862" width="12.28515625" style="111" customWidth="1"/>
    <col min="14863" max="14863" width="12.85546875" style="111" customWidth="1"/>
    <col min="14864" max="14864" width="12" style="111" customWidth="1"/>
    <col min="14865" max="14865" width="12.5703125" style="111" customWidth="1"/>
    <col min="14866" max="14866" width="12.28515625" style="111" customWidth="1"/>
    <col min="14867" max="14867" width="12.140625" style="111" customWidth="1"/>
    <col min="14868" max="14869" width="12.28515625" style="111" customWidth="1"/>
    <col min="14870" max="14870" width="21.140625" style="111" customWidth="1"/>
    <col min="14871" max="15107" width="8.7109375" style="111"/>
    <col min="15108" max="15108" width="41.7109375" style="111" customWidth="1"/>
    <col min="15109" max="15113" width="15.85546875" style="111" customWidth="1"/>
    <col min="15114" max="15114" width="20.42578125" style="111" customWidth="1"/>
    <col min="15115" max="15115" width="19.85546875" style="111" customWidth="1"/>
    <col min="15116" max="15118" width="12.28515625" style="111" customWidth="1"/>
    <col min="15119" max="15119" width="12.85546875" style="111" customWidth="1"/>
    <col min="15120" max="15120" width="12" style="111" customWidth="1"/>
    <col min="15121" max="15121" width="12.5703125" style="111" customWidth="1"/>
    <col min="15122" max="15122" width="12.28515625" style="111" customWidth="1"/>
    <col min="15123" max="15123" width="12.140625" style="111" customWidth="1"/>
    <col min="15124" max="15125" width="12.28515625" style="111" customWidth="1"/>
    <col min="15126" max="15126" width="21.140625" style="111" customWidth="1"/>
    <col min="15127" max="15363" width="8.7109375" style="111"/>
    <col min="15364" max="15364" width="41.7109375" style="111" customWidth="1"/>
    <col min="15365" max="15369" width="15.85546875" style="111" customWidth="1"/>
    <col min="15370" max="15370" width="20.42578125" style="111" customWidth="1"/>
    <col min="15371" max="15371" width="19.85546875" style="111" customWidth="1"/>
    <col min="15372" max="15374" width="12.28515625" style="111" customWidth="1"/>
    <col min="15375" max="15375" width="12.85546875" style="111" customWidth="1"/>
    <col min="15376" max="15376" width="12" style="111" customWidth="1"/>
    <col min="15377" max="15377" width="12.5703125" style="111" customWidth="1"/>
    <col min="15378" max="15378" width="12.28515625" style="111" customWidth="1"/>
    <col min="15379" max="15379" width="12.140625" style="111" customWidth="1"/>
    <col min="15380" max="15381" width="12.28515625" style="111" customWidth="1"/>
    <col min="15382" max="15382" width="21.140625" style="111" customWidth="1"/>
    <col min="15383" max="15619" width="8.7109375" style="111"/>
    <col min="15620" max="15620" width="41.7109375" style="111" customWidth="1"/>
    <col min="15621" max="15625" width="15.85546875" style="111" customWidth="1"/>
    <col min="15626" max="15626" width="20.42578125" style="111" customWidth="1"/>
    <col min="15627" max="15627" width="19.85546875" style="111" customWidth="1"/>
    <col min="15628" max="15630" width="12.28515625" style="111" customWidth="1"/>
    <col min="15631" max="15631" width="12.85546875" style="111" customWidth="1"/>
    <col min="15632" max="15632" width="12" style="111" customWidth="1"/>
    <col min="15633" max="15633" width="12.5703125" style="111" customWidth="1"/>
    <col min="15634" max="15634" width="12.28515625" style="111" customWidth="1"/>
    <col min="15635" max="15635" width="12.140625" style="111" customWidth="1"/>
    <col min="15636" max="15637" width="12.28515625" style="111" customWidth="1"/>
    <col min="15638" max="15638" width="21.140625" style="111" customWidth="1"/>
    <col min="15639" max="15875" width="8.7109375" style="111"/>
    <col min="15876" max="15876" width="41.7109375" style="111" customWidth="1"/>
    <col min="15877" max="15881" width="15.85546875" style="111" customWidth="1"/>
    <col min="15882" max="15882" width="20.42578125" style="111" customWidth="1"/>
    <col min="15883" max="15883" width="19.85546875" style="111" customWidth="1"/>
    <col min="15884" max="15886" width="12.28515625" style="111" customWidth="1"/>
    <col min="15887" max="15887" width="12.85546875" style="111" customWidth="1"/>
    <col min="15888" max="15888" width="12" style="111" customWidth="1"/>
    <col min="15889" max="15889" width="12.5703125" style="111" customWidth="1"/>
    <col min="15890" max="15890" width="12.28515625" style="111" customWidth="1"/>
    <col min="15891" max="15891" width="12.140625" style="111" customWidth="1"/>
    <col min="15892" max="15893" width="12.28515625" style="111" customWidth="1"/>
    <col min="15894" max="15894" width="21.140625" style="111" customWidth="1"/>
    <col min="15895" max="16131" width="8.7109375" style="111"/>
    <col min="16132" max="16132" width="41.7109375" style="111" customWidth="1"/>
    <col min="16133" max="16137" width="15.85546875" style="111" customWidth="1"/>
    <col min="16138" max="16138" width="20.42578125" style="111" customWidth="1"/>
    <col min="16139" max="16139" width="19.85546875" style="111" customWidth="1"/>
    <col min="16140" max="16142" width="12.28515625" style="111" customWidth="1"/>
    <col min="16143" max="16143" width="12.85546875" style="111" customWidth="1"/>
    <col min="16144" max="16144" width="12" style="111" customWidth="1"/>
    <col min="16145" max="16145" width="12.5703125" style="111" customWidth="1"/>
    <col min="16146" max="16146" width="12.28515625" style="111" customWidth="1"/>
    <col min="16147" max="16147" width="12.140625" style="111" customWidth="1"/>
    <col min="16148" max="16149" width="12.28515625" style="111" customWidth="1"/>
    <col min="16150" max="16150" width="21.140625" style="111" customWidth="1"/>
    <col min="16151" max="16384" width="8.7109375" style="111"/>
  </cols>
  <sheetData>
    <row r="1" spans="1:22" ht="22.5" customHeight="1">
      <c r="J1" s="110"/>
      <c r="T1" s="231"/>
      <c r="U1" s="231"/>
    </row>
    <row r="2" spans="1:22" ht="26.25" customHeight="1">
      <c r="A2" s="209"/>
      <c r="B2" s="210" t="s">
        <v>121</v>
      </c>
      <c r="C2" s="117"/>
      <c r="D2" s="117"/>
      <c r="E2" s="117"/>
      <c r="F2" s="117"/>
      <c r="G2" s="117"/>
      <c r="H2" s="117"/>
      <c r="I2" s="117"/>
      <c r="J2" s="117"/>
      <c r="K2" s="209"/>
      <c r="L2" s="211"/>
      <c r="M2" s="209"/>
      <c r="N2" s="209"/>
      <c r="O2" s="209"/>
      <c r="P2" s="209"/>
      <c r="Q2" s="209"/>
      <c r="S2" s="231"/>
      <c r="T2" s="231"/>
      <c r="U2" s="231"/>
    </row>
    <row r="3" spans="1:22" ht="27.75" customHeight="1">
      <c r="A3" s="209"/>
      <c r="B3" s="123" t="str">
        <f>'1_до 15 кВт'!B7</f>
        <v>ООО "Метэк"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22" ht="27.75" customHeight="1"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22" ht="27" customHeight="1">
      <c r="B5" s="232" t="s">
        <v>160</v>
      </c>
      <c r="C5" s="233"/>
      <c r="D5" s="233"/>
      <c r="E5" s="233"/>
      <c r="F5" s="233"/>
      <c r="G5" s="233"/>
      <c r="H5" s="233"/>
      <c r="I5" s="234"/>
      <c r="J5" s="235" t="s">
        <v>161</v>
      </c>
      <c r="K5" s="235"/>
      <c r="L5" s="235"/>
      <c r="M5" s="235"/>
      <c r="N5" s="235"/>
      <c r="O5" s="235"/>
      <c r="P5" s="235"/>
      <c r="Q5" s="235" t="s">
        <v>164</v>
      </c>
      <c r="R5" s="235"/>
      <c r="S5" s="235"/>
      <c r="T5" s="235"/>
      <c r="U5" s="235"/>
    </row>
    <row r="6" spans="1:22" ht="37.5" customHeight="1">
      <c r="B6" s="224" t="s">
        <v>122</v>
      </c>
      <c r="C6" s="224" t="s">
        <v>123</v>
      </c>
      <c r="D6" s="224"/>
      <c r="E6" s="224" t="s">
        <v>124</v>
      </c>
      <c r="F6" s="224"/>
      <c r="G6" s="224"/>
      <c r="H6" s="224"/>
      <c r="I6" s="224"/>
      <c r="J6" s="230" t="s">
        <v>123</v>
      </c>
      <c r="K6" s="230"/>
      <c r="L6" s="224" t="s">
        <v>124</v>
      </c>
      <c r="M6" s="224"/>
      <c r="N6" s="224"/>
      <c r="O6" s="224"/>
      <c r="P6" s="224"/>
      <c r="Q6" s="224" t="s">
        <v>124</v>
      </c>
      <c r="R6" s="224"/>
      <c r="S6" s="224"/>
      <c r="T6" s="224"/>
      <c r="U6" s="224"/>
    </row>
    <row r="7" spans="1:22" ht="13.5" customHeight="1">
      <c r="B7" s="224"/>
      <c r="C7" s="224"/>
      <c r="D7" s="224"/>
      <c r="E7" s="125" t="s">
        <v>165</v>
      </c>
      <c r="F7" s="125" t="s">
        <v>166</v>
      </c>
      <c r="G7" s="125" t="s">
        <v>167</v>
      </c>
      <c r="H7" s="125" t="s">
        <v>168</v>
      </c>
      <c r="I7" s="125" t="s">
        <v>129</v>
      </c>
      <c r="J7" s="230"/>
      <c r="K7" s="230"/>
      <c r="L7" s="125" t="s">
        <v>165</v>
      </c>
      <c r="M7" s="125" t="s">
        <v>166</v>
      </c>
      <c r="N7" s="125" t="s">
        <v>167</v>
      </c>
      <c r="O7" s="125" t="s">
        <v>168</v>
      </c>
      <c r="P7" s="126" t="s">
        <v>129</v>
      </c>
      <c r="Q7" s="125" t="s">
        <v>165</v>
      </c>
      <c r="R7" s="125" t="s">
        <v>166</v>
      </c>
      <c r="S7" s="125" t="s">
        <v>167</v>
      </c>
      <c r="T7" s="125" t="s">
        <v>168</v>
      </c>
      <c r="U7" s="126" t="s">
        <v>129</v>
      </c>
    </row>
    <row r="8" spans="1:22" ht="17.25" customHeight="1">
      <c r="B8" s="127"/>
      <c r="C8" s="125" t="s">
        <v>162</v>
      </c>
      <c r="D8" s="137" t="s">
        <v>163</v>
      </c>
      <c r="E8" s="125" t="s">
        <v>130</v>
      </c>
      <c r="F8" s="125" t="s">
        <v>130</v>
      </c>
      <c r="G8" s="125" t="s">
        <v>130</v>
      </c>
      <c r="H8" s="125" t="s">
        <v>130</v>
      </c>
      <c r="I8" s="125" t="s">
        <v>130</v>
      </c>
      <c r="J8" s="125" t="s">
        <v>162</v>
      </c>
      <c r="K8" s="137" t="s">
        <v>163</v>
      </c>
      <c r="L8" s="125" t="s">
        <v>130</v>
      </c>
      <c r="M8" s="125" t="s">
        <v>130</v>
      </c>
      <c r="N8" s="125" t="s">
        <v>130</v>
      </c>
      <c r="O8" s="125" t="s">
        <v>130</v>
      </c>
      <c r="P8" s="126" t="s">
        <v>130</v>
      </c>
      <c r="Q8" s="128"/>
      <c r="R8" s="128"/>
      <c r="S8" s="128"/>
      <c r="T8" s="128"/>
      <c r="U8" s="128"/>
    </row>
    <row r="9" spans="1:22" s="110" customFormat="1" ht="22.5" customHeight="1">
      <c r="B9" s="129" t="s">
        <v>3</v>
      </c>
      <c r="C9" s="129"/>
      <c r="D9" s="130"/>
      <c r="E9" s="29"/>
      <c r="F9" s="29"/>
      <c r="G9" s="29"/>
      <c r="H9" s="29"/>
      <c r="I9" s="134">
        <f>SUM(E9:H9)</f>
        <v>0</v>
      </c>
      <c r="J9" s="131"/>
      <c r="K9" s="131"/>
      <c r="L9" s="29"/>
      <c r="M9" s="29"/>
      <c r="N9" s="29"/>
      <c r="O9" s="29"/>
      <c r="P9" s="134">
        <f>SUM(L9:O9)</f>
        <v>0</v>
      </c>
      <c r="Q9" s="29"/>
      <c r="R9" s="29"/>
      <c r="S9" s="29"/>
      <c r="T9" s="29"/>
      <c r="U9" s="134">
        <f>SUM(Q9:T9)</f>
        <v>0</v>
      </c>
    </row>
    <row r="10" spans="1:22" s="110" customFormat="1" ht="22.5" customHeight="1" outlineLevel="1">
      <c r="B10" s="129" t="s">
        <v>4</v>
      </c>
      <c r="C10" s="129"/>
      <c r="D10" s="130"/>
      <c r="E10" s="29"/>
      <c r="F10" s="29"/>
      <c r="G10" s="29"/>
      <c r="H10" s="29"/>
      <c r="I10" s="134">
        <f t="shared" ref="I10:I11" si="0">SUM(E10:H10)</f>
        <v>0</v>
      </c>
      <c r="J10" s="131"/>
      <c r="K10" s="131"/>
      <c r="L10" s="29"/>
      <c r="M10" s="29"/>
      <c r="N10" s="29"/>
      <c r="O10" s="29"/>
      <c r="P10" s="134">
        <f t="shared" ref="P10:P11" si="1">SUM(L10:O10)</f>
        <v>0</v>
      </c>
      <c r="Q10" s="29"/>
      <c r="R10" s="29"/>
      <c r="S10" s="29"/>
      <c r="T10" s="29"/>
      <c r="U10" s="134">
        <f t="shared" ref="U10:U11" si="2">SUM(Q10:T10)</f>
        <v>0</v>
      </c>
    </row>
    <row r="11" spans="1:22" s="110" customFormat="1" ht="22.5" customHeight="1" outlineLevel="1">
      <c r="B11" s="142" t="s">
        <v>169</v>
      </c>
      <c r="C11" s="129"/>
      <c r="D11" s="130"/>
      <c r="E11" s="29"/>
      <c r="F11" s="29"/>
      <c r="G11" s="29"/>
      <c r="H11" s="29"/>
      <c r="I11" s="134">
        <f t="shared" si="0"/>
        <v>0</v>
      </c>
      <c r="J11" s="131"/>
      <c r="K11" s="131"/>
      <c r="L11" s="29"/>
      <c r="M11" s="29"/>
      <c r="N11" s="29"/>
      <c r="O11" s="29"/>
      <c r="P11" s="134">
        <f t="shared" si="1"/>
        <v>0</v>
      </c>
      <c r="Q11" s="29"/>
      <c r="R11" s="29"/>
      <c r="S11" s="29"/>
      <c r="T11" s="29"/>
      <c r="U11" s="134">
        <f t="shared" si="2"/>
        <v>0</v>
      </c>
    </row>
    <row r="12" spans="1:22" s="110" customFormat="1" ht="65.25" customHeight="1" outlineLevel="1">
      <c r="B12" s="132"/>
      <c r="C12" s="132"/>
      <c r="D12" s="133" t="s">
        <v>131</v>
      </c>
      <c r="E12" s="134">
        <f>SUM(E9:E11)</f>
        <v>0</v>
      </c>
      <c r="F12" s="134">
        <f>SUM(F9:F11)</f>
        <v>0</v>
      </c>
      <c r="G12" s="134">
        <f>SUM(G9:G11)</f>
        <v>0</v>
      </c>
      <c r="H12" s="134">
        <f>SUM(H9:H11)</f>
        <v>0</v>
      </c>
      <c r="I12" s="135">
        <f>SUM(I9:I11)</f>
        <v>0</v>
      </c>
      <c r="J12" s="225"/>
      <c r="K12" s="225"/>
      <c r="L12" s="134">
        <f>SUM(L9:L11)</f>
        <v>0</v>
      </c>
      <c r="M12" s="134">
        <f>SUM(M9:M11)</f>
        <v>0</v>
      </c>
      <c r="N12" s="134">
        <f>SUM(N9:N11)</f>
        <v>0</v>
      </c>
      <c r="O12" s="134">
        <f>SUM(O9:O11)</f>
        <v>0</v>
      </c>
      <c r="P12" s="136">
        <f>SUM(P9:P11)</f>
        <v>0</v>
      </c>
      <c r="Q12" s="29"/>
      <c r="R12" s="29"/>
      <c r="S12" s="29"/>
      <c r="T12" s="29"/>
      <c r="U12" s="136">
        <f>Q12+R12+S12+T12</f>
        <v>0</v>
      </c>
    </row>
    <row r="13" spans="1:22" s="110" customFormat="1" ht="90" customHeight="1" outlineLevel="1">
      <c r="B13" s="132"/>
      <c r="C13" s="132"/>
      <c r="D13" s="133" t="s">
        <v>132</v>
      </c>
      <c r="E13" s="134">
        <f>E12*0.95</f>
        <v>0</v>
      </c>
      <c r="F13" s="134">
        <f>F12*0.95</f>
        <v>0</v>
      </c>
      <c r="G13" s="134">
        <f>G12*0.95</f>
        <v>0</v>
      </c>
      <c r="H13" s="134">
        <f>H12*0.95</f>
        <v>0</v>
      </c>
      <c r="I13" s="135">
        <f>E13+F13+G13+H13</f>
        <v>0</v>
      </c>
      <c r="J13" s="225"/>
      <c r="K13" s="225"/>
      <c r="L13" s="134">
        <f>L12*0.95</f>
        <v>0</v>
      </c>
      <c r="M13" s="134">
        <f>M12*0.95</f>
        <v>0</v>
      </c>
      <c r="N13" s="134">
        <f>N12*0.95</f>
        <v>0</v>
      </c>
      <c r="O13" s="134">
        <f>O12*0.95</f>
        <v>0</v>
      </c>
      <c r="P13" s="135">
        <f>L13+M13+N13+O13</f>
        <v>0</v>
      </c>
      <c r="Q13" s="29"/>
      <c r="R13" s="29"/>
      <c r="S13" s="29"/>
      <c r="T13" s="29"/>
      <c r="U13" s="136">
        <f>Q13+R13+S13+T13</f>
        <v>0</v>
      </c>
    </row>
    <row r="14" spans="1:22" s="110" customFormat="1" ht="17.25" customHeight="1" outlineLevel="1">
      <c r="B14" s="113"/>
      <c r="C14" s="113"/>
      <c r="D14" s="114"/>
      <c r="E14" s="115"/>
      <c r="F14" s="115"/>
      <c r="G14" s="115"/>
      <c r="H14" s="115"/>
      <c r="I14" s="115"/>
      <c r="J14" s="115"/>
      <c r="K14" s="113"/>
      <c r="L14" s="116"/>
      <c r="M14" s="115"/>
      <c r="N14" s="115"/>
      <c r="O14" s="115"/>
      <c r="P14" s="115"/>
      <c r="Q14" s="115"/>
      <c r="R14" s="115"/>
      <c r="S14" s="115"/>
      <c r="T14" s="115"/>
      <c r="U14" s="115"/>
      <c r="V14" s="115"/>
    </row>
    <row r="15" spans="1:22" s="110" customFormat="1" ht="18" customHeight="1" outlineLevel="1">
      <c r="B15" s="113"/>
      <c r="C15" s="113"/>
      <c r="D15" s="114"/>
      <c r="E15" s="115"/>
      <c r="F15" s="115"/>
      <c r="G15" s="115"/>
      <c r="H15" s="115"/>
      <c r="I15" s="143">
        <f>8.5%+2%</f>
        <v>0.10500000000000001</v>
      </c>
      <c r="J15" s="115"/>
      <c r="K15" s="113"/>
      <c r="L15" s="116"/>
      <c r="M15" s="115"/>
      <c r="N15" s="115"/>
      <c r="O15" s="115"/>
      <c r="P15" s="115"/>
      <c r="Q15" s="115"/>
      <c r="R15" s="115"/>
      <c r="S15" s="115"/>
      <c r="T15" s="115"/>
      <c r="U15" s="115"/>
      <c r="V15" s="115"/>
    </row>
    <row r="16" spans="1:22" s="118" customFormat="1" ht="26.25" customHeight="1" outlineLevel="1">
      <c r="B16" s="110"/>
      <c r="C16" s="110"/>
      <c r="D16" s="110"/>
      <c r="E16" s="110"/>
      <c r="F16" s="110"/>
      <c r="G16" s="117"/>
      <c r="H16" s="117"/>
      <c r="I16" s="117"/>
      <c r="L16" s="119"/>
    </row>
    <row r="17" spans="3:15" ht="33.75" customHeight="1">
      <c r="C17" s="226" t="s">
        <v>133</v>
      </c>
      <c r="D17" s="228" t="s">
        <v>134</v>
      </c>
      <c r="E17" s="229" t="s">
        <v>135</v>
      </c>
      <c r="F17" s="229"/>
      <c r="G17" s="229"/>
      <c r="H17" s="229"/>
      <c r="I17" s="229"/>
    </row>
    <row r="18" spans="3:15" ht="129.75" customHeight="1">
      <c r="C18" s="227"/>
      <c r="D18" s="228"/>
      <c r="E18" s="145" t="s">
        <v>136</v>
      </c>
      <c r="F18" s="145" t="s">
        <v>209</v>
      </c>
      <c r="G18" s="145" t="s">
        <v>137</v>
      </c>
      <c r="H18" s="145" t="s">
        <v>138</v>
      </c>
      <c r="I18" s="145" t="s">
        <v>139</v>
      </c>
      <c r="M18" s="120"/>
      <c r="N18" s="121"/>
      <c r="O18" s="121"/>
    </row>
    <row r="19" spans="3:15" ht="29.25" customHeight="1">
      <c r="C19" s="144" t="s">
        <v>3</v>
      </c>
      <c r="D19" s="144" t="s">
        <v>205</v>
      </c>
      <c r="E19" s="135">
        <f>E20+E21+E22+E23</f>
        <v>0</v>
      </c>
      <c r="F19" s="135">
        <f>F20+F21+F22+F23</f>
        <v>0</v>
      </c>
      <c r="G19" s="135">
        <f>G20+G21+G22+G23</f>
        <v>0</v>
      </c>
      <c r="H19" s="134">
        <f>H20+H21+H22+H23</f>
        <v>0</v>
      </c>
      <c r="I19" s="135">
        <f>I20+I21+I22+I23</f>
        <v>0</v>
      </c>
    </row>
    <row r="20" spans="3:15" ht="18" customHeight="1">
      <c r="C20" s="145" t="s">
        <v>21</v>
      </c>
      <c r="D20" s="145" t="s">
        <v>125</v>
      </c>
      <c r="E20" s="128"/>
      <c r="F20" s="128"/>
      <c r="G20" s="145"/>
      <c r="H20" s="145"/>
      <c r="I20" s="134">
        <f>E20+F20+G20+H20</f>
        <v>0</v>
      </c>
      <c r="K20" s="122"/>
    </row>
    <row r="21" spans="3:15" ht="18" customHeight="1">
      <c r="C21" s="145" t="s">
        <v>22</v>
      </c>
      <c r="D21" s="145" t="s">
        <v>126</v>
      </c>
      <c r="E21" s="134">
        <f>(E12*0.95)*($I$15/4)</f>
        <v>0</v>
      </c>
      <c r="F21" s="125"/>
      <c r="G21" s="145"/>
      <c r="H21" s="145"/>
      <c r="I21" s="134">
        <f>E21+F21+G21+H21</f>
        <v>0</v>
      </c>
    </row>
    <row r="22" spans="3:15" ht="18" customHeight="1">
      <c r="C22" s="145" t="s">
        <v>23</v>
      </c>
      <c r="D22" s="145" t="s">
        <v>127</v>
      </c>
      <c r="E22" s="134">
        <f>$E$12*0.95*(1-1/12)*($I$15/4)</f>
        <v>0</v>
      </c>
      <c r="F22" s="134">
        <f>(F12*0.95)*($I$15/4)</f>
        <v>0</v>
      </c>
      <c r="G22" s="145"/>
      <c r="H22" s="145"/>
      <c r="I22" s="134">
        <f>E22+F22+G22+H22</f>
        <v>0</v>
      </c>
    </row>
    <row r="23" spans="3:15" ht="18" customHeight="1">
      <c r="C23" s="145" t="s">
        <v>24</v>
      </c>
      <c r="D23" s="145" t="s">
        <v>128</v>
      </c>
      <c r="E23" s="134">
        <f>$E$12*0.95*((1-1/12*2)*($I$15/4))</f>
        <v>0</v>
      </c>
      <c r="F23" s="134">
        <f>F12*0.95*(1-1/12)*($I$15/4)</f>
        <v>0</v>
      </c>
      <c r="G23" s="134">
        <f>($G$12*0.95)*($I$15/4)</f>
        <v>0</v>
      </c>
      <c r="H23" s="125"/>
      <c r="I23" s="134">
        <f>E23+F23+G23+H23</f>
        <v>0</v>
      </c>
    </row>
    <row r="24" spans="3:15" ht="27.75" customHeight="1">
      <c r="C24" s="144" t="s">
        <v>4</v>
      </c>
      <c r="D24" s="144" t="s">
        <v>206</v>
      </c>
      <c r="E24" s="135">
        <f>E25+E26+E27+E28</f>
        <v>0</v>
      </c>
      <c r="F24" s="135">
        <f>F25+F26+F27+F28</f>
        <v>0</v>
      </c>
      <c r="G24" s="135">
        <f>G25+G26+G27+G28</f>
        <v>0</v>
      </c>
      <c r="H24" s="135">
        <f>H25+H26+H27+H28</f>
        <v>0</v>
      </c>
      <c r="I24" s="135">
        <f>I25+I26+I27+I28</f>
        <v>0</v>
      </c>
    </row>
    <row r="25" spans="3:15" ht="18" customHeight="1">
      <c r="C25" s="145" t="s">
        <v>26</v>
      </c>
      <c r="D25" s="145" t="s">
        <v>140</v>
      </c>
      <c r="E25" s="134">
        <f>$E$12*0.95*(1-1/12*3)*($I$15/4)</f>
        <v>0</v>
      </c>
      <c r="F25" s="134">
        <f>$F$12*0.95*(1-1/12*2)*($I$15/4)</f>
        <v>0</v>
      </c>
      <c r="G25" s="134">
        <f>($G$12*0.95*(1-1/12))*($I$15/4)</f>
        <v>0</v>
      </c>
      <c r="H25" s="134">
        <f>$H$12*0.95*$I$15/4</f>
        <v>0</v>
      </c>
      <c r="I25" s="134">
        <f>E25+F25+G25+H25</f>
        <v>0</v>
      </c>
    </row>
    <row r="26" spans="3:15" ht="18" customHeight="1">
      <c r="C26" s="145" t="s">
        <v>28</v>
      </c>
      <c r="D26" s="145" t="s">
        <v>141</v>
      </c>
      <c r="E26" s="134">
        <f>$E$12*0.95*(1-1/12*4)*($I$15/4)+$L$12*0.95*$I$15/4</f>
        <v>0</v>
      </c>
      <c r="F26" s="134">
        <f>$F$12*0.95*(1-1/12*3)*($I$15/4)</f>
        <v>0</v>
      </c>
      <c r="G26" s="134">
        <f>($G$12*0.95*(1-1/12*2))*($I$15/4)</f>
        <v>0</v>
      </c>
      <c r="H26" s="134">
        <f>$H$12*0.95*(1-1/12)*$I$15/4</f>
        <v>0</v>
      </c>
      <c r="I26" s="134">
        <f>E26+F26+G26+H26</f>
        <v>0</v>
      </c>
    </row>
    <row r="27" spans="3:15" ht="18" customHeight="1">
      <c r="C27" s="145" t="s">
        <v>30</v>
      </c>
      <c r="D27" s="145" t="s">
        <v>142</v>
      </c>
      <c r="E27" s="134">
        <f>$E$12*0.95*(1-1/12*5)*($I$15/4)+$L$12*0.95*(1-1/12)*$I$15/4</f>
        <v>0</v>
      </c>
      <c r="F27" s="134">
        <f>$F$12*0.95*(1-1/12*4)*($I$15/4)+$M$12*0.95*$I$15/4</f>
        <v>0</v>
      </c>
      <c r="G27" s="134">
        <f>($G$12*0.95*(1-1/12*3))*($I$15/4)</f>
        <v>0</v>
      </c>
      <c r="H27" s="134">
        <f>$H$12*0.95*(1-1/12*2)*$I$15/4</f>
        <v>0</v>
      </c>
      <c r="I27" s="134">
        <f>E27+F27+G27+H27</f>
        <v>0</v>
      </c>
    </row>
    <row r="28" spans="3:15" ht="18" customHeight="1">
      <c r="C28" s="145" t="s">
        <v>31</v>
      </c>
      <c r="D28" s="145" t="s">
        <v>143</v>
      </c>
      <c r="E28" s="134">
        <f>$E$12*0.95*(1-1/12*6)*($I$15/4)+$L$12*0.95*(1-1/12*2)*$I$15/4</f>
        <v>0</v>
      </c>
      <c r="F28" s="134">
        <f>$F$12*0.95*(1-1/12*5)*($I$15/4)+$M$12*0.95*(1-1/12)*$I$15/4</f>
        <v>0</v>
      </c>
      <c r="G28" s="134">
        <f>($G$12*0.95*(1-1/12*4))*($I$15/4)+($N$12*0.95)*$I$15/4</f>
        <v>0</v>
      </c>
      <c r="H28" s="134">
        <f>$H$12*0.95*(1-1/12*3)*$I$15/4</f>
        <v>0</v>
      </c>
      <c r="I28" s="134">
        <f>E28+F28+G28+H28</f>
        <v>0</v>
      </c>
    </row>
    <row r="29" spans="3:15" ht="25.5" customHeight="1">
      <c r="C29" s="144" t="s">
        <v>18</v>
      </c>
      <c r="D29" s="144" t="s">
        <v>207</v>
      </c>
      <c r="E29" s="135">
        <f>E30+E31+E32+E33</f>
        <v>0</v>
      </c>
      <c r="F29" s="135">
        <f>F30+F31+F32+F33</f>
        <v>0</v>
      </c>
      <c r="G29" s="135">
        <f>G30+G31+G32+G33</f>
        <v>0</v>
      </c>
      <c r="H29" s="135">
        <f>H30+H31+H32+H33</f>
        <v>0</v>
      </c>
      <c r="I29" s="135">
        <f>I30+I31+I32+I33</f>
        <v>0</v>
      </c>
    </row>
    <row r="30" spans="3:15" ht="18" customHeight="1">
      <c r="C30" s="145" t="s">
        <v>36</v>
      </c>
      <c r="D30" s="145" t="s">
        <v>144</v>
      </c>
      <c r="E30" s="134">
        <f>$E$12*0.95*(1-1/12*7)*($I$15/4)+$L$12*0.95*(1-1/12*3)*$I$15/4</f>
        <v>0</v>
      </c>
      <c r="F30" s="134">
        <f>$F$12*0.95*(1-1/12*6)*($I$15/4)+$M$12*0.95*(1-1/12*2)*$I$15/4</f>
        <v>0</v>
      </c>
      <c r="G30" s="134">
        <f>($G$12*0.95*(1-1/12*5))*($I$15/4)+($N$12*0.95*(1-1/12))*$I$15/4</f>
        <v>0</v>
      </c>
      <c r="H30" s="134">
        <f>$H$12*0.95*(1-1/12*4)*$I$15/4+$O$12*0.95*$I$15/4</f>
        <v>0</v>
      </c>
      <c r="I30" s="134">
        <f>E30+F30+G30+H30</f>
        <v>0</v>
      </c>
    </row>
    <row r="31" spans="3:15" ht="18" customHeight="1">
      <c r="C31" s="145" t="s">
        <v>38</v>
      </c>
      <c r="D31" s="145" t="s">
        <v>145</v>
      </c>
      <c r="E31" s="134">
        <f>$E$12*0.95*(1-1/12*8)*($I$15/4)+$L$12*0.95*(1-1/12*4)*$I$15/4+$Q$12*0.95*$I$15/4</f>
        <v>0</v>
      </c>
      <c r="F31" s="134">
        <f>$F$12*0.95*(1-1/12*7)*($I$15/4)+$M$12*0.95*(1-1/12*3)*$I$15/4</f>
        <v>0</v>
      </c>
      <c r="G31" s="134">
        <f>($G$12*0.95*(1-1/12*6))*($I$15/4)+($N$12*0.95*(1-1/12*2))*$I$15/4</f>
        <v>0</v>
      </c>
      <c r="H31" s="134">
        <f>$H$12*0.95*(1-1/12*5)*$I$15/4+$O$12*0.95*(1-1/12)*$I$15/4</f>
        <v>0</v>
      </c>
      <c r="I31" s="134">
        <f>E31+F31+G31+H31</f>
        <v>0</v>
      </c>
    </row>
    <row r="32" spans="3:15" ht="18" customHeight="1">
      <c r="C32" s="145" t="s">
        <v>146</v>
      </c>
      <c r="D32" s="145" t="s">
        <v>147</v>
      </c>
      <c r="E32" s="134">
        <f>$E$12*0.95*(1-1/12*9)*($I$15/4)+$L$12*0.95*(1-1/12*5)*$I$15/4+$Q$12*0.95*(1-1/12)*$I$15/4</f>
        <v>0</v>
      </c>
      <c r="F32" s="134">
        <f>$F$12*0.95*(1-1/12*8)*($I$15/4)+$M$12*0.95*(1-1/12*4)*$I$15/4+$R$12*0.95*$I$15/4</f>
        <v>0</v>
      </c>
      <c r="G32" s="134">
        <f>($G$12*0.95*(1-1/12*7))*($I$15/4)+($N$12*0.95*(1-1/12*3))*$I$15/4</f>
        <v>0</v>
      </c>
      <c r="H32" s="134">
        <f>$H$12*0.95*(1-1/12*6)*$I$15/4+$O$12*0.95*(1-1/12*2)*$I$15/4</f>
        <v>0</v>
      </c>
      <c r="I32" s="134">
        <f>E32+F32+G32+H32</f>
        <v>0</v>
      </c>
    </row>
    <row r="33" spans="2:9" ht="18" customHeight="1">
      <c r="C33" s="145" t="s">
        <v>148</v>
      </c>
      <c r="D33" s="145" t="s">
        <v>149</v>
      </c>
      <c r="E33" s="134">
        <f>$E$12*0.95*(1-1/12*10)*($I$15/4)+$L$12*0.95*(1-1/12*6)*$I$15/4+$Q$12*0.95*(1-1/12*2)*$I$15/4</f>
        <v>0</v>
      </c>
      <c r="F33" s="134">
        <f>$F$12*0.95*(1-1/12*9)*($I$15/4)+$M$12*0.95*(1-1/12*5)*$I$15/4+$R$12*0.95*(1-1/12)*$I$15/4</f>
        <v>0</v>
      </c>
      <c r="G33" s="134">
        <f>($G$12*0.95*(1-1/12*8))*($I$15/4)+($N$12*0.95*(1-1/12*4))*$I$15/4+($S$12*0.95)*$I$15/4</f>
        <v>0</v>
      </c>
      <c r="H33" s="134">
        <f>$H$12*0.95*(1-1/12*7)*$I$15/4+$O$12*0.95*(1-1/12*3)*$I$15/4</f>
        <v>0</v>
      </c>
      <c r="I33" s="134">
        <f>E33+F33+G33+H33</f>
        <v>0</v>
      </c>
    </row>
    <row r="34" spans="2:9" ht="25.5" customHeight="1">
      <c r="C34" s="144" t="s">
        <v>19</v>
      </c>
      <c r="D34" s="144" t="s">
        <v>208</v>
      </c>
      <c r="E34" s="135">
        <f>E35+E36+E37+E38</f>
        <v>0</v>
      </c>
      <c r="F34" s="135">
        <f>F35+F36+F37+F38</f>
        <v>0</v>
      </c>
      <c r="G34" s="135">
        <f>G35+G36+G37+G38</f>
        <v>0</v>
      </c>
      <c r="H34" s="135">
        <f>H35+H36+H37+H38</f>
        <v>0</v>
      </c>
      <c r="I34" s="135">
        <f>I35+I36+I37+I38</f>
        <v>0</v>
      </c>
    </row>
    <row r="35" spans="2:9" ht="18" customHeight="1">
      <c r="C35" s="145" t="s">
        <v>150</v>
      </c>
      <c r="D35" s="145" t="s">
        <v>151</v>
      </c>
      <c r="E35" s="134">
        <f>$E$12*0.95*(1-1/12*11)*($I$15/4)+$L$12*0.95*(1-1/12*7)*$I$15/4+$Q$12*0.95*(1-1/12*3)*$I$15/4</f>
        <v>0</v>
      </c>
      <c r="F35" s="134">
        <f>$F$12*0.95*(1-1/12*10)*($I$15/4)+$M$12*0.95*(1-1/12*6)*$I$15/4+$R$12*0.95*(1-1/12*2)*$I$15/4</f>
        <v>0</v>
      </c>
      <c r="G35" s="134">
        <f>($G$12*0.95*(1-1/12*9))*($I$15/4)+($N$12*0.95*(1-1/12*5))*$I$15/4+($S$12*0.95*(1-1/12))*$I$15/4</f>
        <v>0</v>
      </c>
      <c r="H35" s="134">
        <f>$H$12*0.95*(1-1/12*8)*$I$15/4+$O$12*0.95*(1-1/12*4)*$I$15/4+$T$12*0.95*$I$15/4</f>
        <v>0</v>
      </c>
      <c r="I35" s="134">
        <f>E35+F35+G35+H35</f>
        <v>0</v>
      </c>
    </row>
    <row r="36" spans="2:9" ht="18" customHeight="1">
      <c r="C36" s="145" t="s">
        <v>152</v>
      </c>
      <c r="D36" s="145" t="s">
        <v>153</v>
      </c>
      <c r="E36" s="134">
        <f>$E$12*0.95*(1-1/12*12)*($I$15/4)+$L$12*0.95*(1-1/12*8)*$I$15/4+$Q$12*0.95*(1-1/12*4)*$I$15/4+$W$12*0.95*$I$15/4</f>
        <v>0</v>
      </c>
      <c r="F36" s="134">
        <f>$F$12*0.95*(1-1/12*11)*($I$15/4)+$M$12*0.95*(1-1/12*7)*$I$15/4+$R$12*0.95*(1-1/12*3)*$I$15/4</f>
        <v>0</v>
      </c>
      <c r="G36" s="134">
        <f>($G$12*0.95*(1-1/12*10))*($I$15/4)+($N$12*0.95*(1-1/12*6))*$I$15/4+($S$12*0.95*(1-1/12*2))*$I$15/4</f>
        <v>0</v>
      </c>
      <c r="H36" s="134">
        <f>$H$12*0.95*(1-1/12*9)*$I$15/4+$O$12*0.95*(1-1/12*5)*$I$15/4+$T$12*0.95*(1-1/12)*$I$15/4</f>
        <v>0</v>
      </c>
      <c r="I36" s="134">
        <f>E36+F36+G36+H36</f>
        <v>0</v>
      </c>
    </row>
    <row r="37" spans="2:9" ht="18" customHeight="1">
      <c r="C37" s="145" t="s">
        <v>154</v>
      </c>
      <c r="D37" s="145" t="s">
        <v>155</v>
      </c>
      <c r="E37" s="134">
        <f>$L$12*0.95*(1-1/12*9)*$I$15/4+$Q$12*0.95*(1-1/12*5)*$I$15/4+$W$12*0.95*(1-1/12)*$I$15/4</f>
        <v>0</v>
      </c>
      <c r="F37" s="134">
        <f>$F$12*0.95*(1-1/12*12)*($I$15/4)+$M$12*0.95*(1-1/12*8)*$I$15/4+$R$12*0.95*(1-1/12*4)*$I$15/4</f>
        <v>0</v>
      </c>
      <c r="G37" s="134">
        <f>($G$12*0.95*(1-1/12*11))*($I$15/4)+($N$12*0.95*(1-1/12*7))*$I$15/4+($S$12*0.95*(1-1/12*3))*$I$15/4</f>
        <v>0</v>
      </c>
      <c r="H37" s="134">
        <f>$H$12*0.95*(1-1/12*10)*$I$15/4+$O$12*0.95*(1-1/12*6)*$I$15/4+$T$12*0.95*(1-1/12*2)*$I$15/4</f>
        <v>0</v>
      </c>
      <c r="I37" s="134">
        <f>E37+F37+G37+H37</f>
        <v>0</v>
      </c>
    </row>
    <row r="38" spans="2:9" ht="18" customHeight="1">
      <c r="C38" s="145" t="s">
        <v>156</v>
      </c>
      <c r="D38" s="145" t="s">
        <v>157</v>
      </c>
      <c r="E38" s="134">
        <f>$L$12*0.95*(1-1/12*10)*$I$15/4+$Q$12*0.95*(1-1/12*6)*$I$15/4+$W$12*0.95*(1-1/12*2)*$I$15/4</f>
        <v>0</v>
      </c>
      <c r="F38" s="134">
        <f>$M$12*0.95*(1-1/12*9)*$I$15/4+$R$12*0.95*(1-1/12*5)*$I$15/4</f>
        <v>0</v>
      </c>
      <c r="G38" s="134">
        <f>($G$12*0.95*(1-1/12*12))*($I$15/4)+($N$12*0.95*(1-1/12*8))*$I$15/4+($S$12*0.95*(1-1/12*4))*$I$15/4</f>
        <v>0</v>
      </c>
      <c r="H38" s="134">
        <f>$H$12*0.95*(1-1/12*11)*$I$15/4+$O$12*0.95*(1-1/12*7)*$I$15/4+$T$12*0.95*(1-1/12*3)*$I$15/4</f>
        <v>0</v>
      </c>
      <c r="I38" s="134">
        <f>E38+F38+G38+H38</f>
        <v>0</v>
      </c>
    </row>
    <row r="39" spans="2:9" ht="25.5" customHeight="1">
      <c r="C39" s="144" t="s">
        <v>158</v>
      </c>
      <c r="D39" s="144" t="s">
        <v>159</v>
      </c>
      <c r="E39" s="135">
        <f>E19+E24+E29+E34</f>
        <v>0</v>
      </c>
      <c r="F39" s="135">
        <f>F19+F24+F29+F34</f>
        <v>0</v>
      </c>
      <c r="G39" s="135">
        <f>G19+G24+G29+G34</f>
        <v>0</v>
      </c>
      <c r="H39" s="135">
        <f>H19+H24+H29+H34</f>
        <v>0</v>
      </c>
      <c r="I39" s="135">
        <f>I19+I24+I29+I34</f>
        <v>0</v>
      </c>
    </row>
    <row r="40" spans="2:9" ht="11.45" customHeight="1"/>
    <row r="41" spans="2:9" ht="54.75" customHeight="1">
      <c r="B41" s="223" t="s">
        <v>170</v>
      </c>
      <c r="C41" s="223"/>
      <c r="D41" s="223"/>
      <c r="E41" s="223"/>
      <c r="F41" s="223"/>
      <c r="G41" s="223"/>
      <c r="H41" s="223"/>
      <c r="I41" s="223"/>
    </row>
    <row r="42" spans="2:9" ht="11.45" customHeight="1"/>
    <row r="43" spans="2:9" ht="24.75" customHeight="1">
      <c r="B43" s="223"/>
      <c r="C43" s="223"/>
      <c r="D43" s="223"/>
      <c r="E43" s="223"/>
      <c r="F43" s="223"/>
    </row>
  </sheetData>
  <mergeCells count="18">
    <mergeCell ref="L6:P6"/>
    <mergeCell ref="Q6:U6"/>
    <mergeCell ref="T1:U1"/>
    <mergeCell ref="S2:U2"/>
    <mergeCell ref="B5:I5"/>
    <mergeCell ref="J5:P5"/>
    <mergeCell ref="Q5:U5"/>
    <mergeCell ref="B43:F43"/>
    <mergeCell ref="C6:D7"/>
    <mergeCell ref="J12:K12"/>
    <mergeCell ref="J13:K13"/>
    <mergeCell ref="C17:C18"/>
    <mergeCell ref="D17:D18"/>
    <mergeCell ref="E17:I17"/>
    <mergeCell ref="B41:I41"/>
    <mergeCell ref="B6:B7"/>
    <mergeCell ref="E6:I6"/>
    <mergeCell ref="J6:K7"/>
  </mergeCells>
  <pageMargins left="0.70866141732283472" right="0.70866141732283472" top="0.74803149606299213" bottom="0.55118110236220474" header="0.31496062992125984" footer="0.31496062992125984"/>
  <pageSetup paperSize="9" scale="47" fitToHeight="0" orientation="landscape" r:id="rId1"/>
  <rowBreaks count="1" manualBreakCount="1">
    <brk id="16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3:R86"/>
  <sheetViews>
    <sheetView view="pageBreakPreview" topLeftCell="A13" zoomScale="80" zoomScaleNormal="100" zoomScaleSheetLayoutView="80" workbookViewId="0">
      <selection activeCell="C13" sqref="C13"/>
    </sheetView>
  </sheetViews>
  <sheetFormatPr defaultRowHeight="12"/>
  <cols>
    <col min="1" max="1" width="4.140625" style="16" customWidth="1"/>
    <col min="2" max="2" width="7" style="17" customWidth="1"/>
    <col min="3" max="3" width="46.28515625" style="17" customWidth="1"/>
    <col min="4" max="4" width="15.28515625" style="17" bestFit="1" customWidth="1"/>
    <col min="5" max="5" width="12.85546875" style="17" customWidth="1"/>
    <col min="6" max="6" width="12.7109375" style="17" customWidth="1"/>
    <col min="7" max="8" width="12.85546875" style="17" customWidth="1"/>
    <col min="9" max="9" width="13.7109375" style="17" customWidth="1"/>
    <col min="10" max="10" width="13.28515625" style="17" customWidth="1"/>
    <col min="11" max="11" width="12.5703125" style="17" customWidth="1"/>
    <col min="12" max="12" width="13.42578125" style="17" customWidth="1"/>
    <col min="13" max="13" width="11.7109375" style="17" customWidth="1"/>
    <col min="14" max="14" width="18.85546875" style="17" customWidth="1"/>
    <col min="15" max="15" width="6.28515625" style="17" customWidth="1"/>
    <col min="16" max="16" width="7.7109375" style="17" customWidth="1"/>
    <col min="17" max="18" width="7.85546875" style="17" customWidth="1"/>
    <col min="19" max="16384" width="9.140625" style="17"/>
  </cols>
  <sheetData>
    <row r="3" spans="1:12">
      <c r="F3" s="18"/>
      <c r="I3" s="18"/>
      <c r="L3" s="18" t="s">
        <v>14</v>
      </c>
    </row>
    <row r="4" spans="1:12" ht="16.5" customHeight="1">
      <c r="B4" s="19" t="s">
        <v>112</v>
      </c>
    </row>
    <row r="5" spans="1:12">
      <c r="B5" s="20" t="s">
        <v>8</v>
      </c>
    </row>
    <row r="6" spans="1:12">
      <c r="B6" s="20"/>
    </row>
    <row r="7" spans="1:12" ht="15">
      <c r="B7" s="21" t="s">
        <v>217</v>
      </c>
    </row>
    <row r="9" spans="1:12" ht="24" customHeight="1">
      <c r="A9" s="22" t="s">
        <v>0</v>
      </c>
      <c r="B9" s="221" t="s">
        <v>1</v>
      </c>
      <c r="C9" s="221" t="s">
        <v>2</v>
      </c>
      <c r="D9" s="222" t="s">
        <v>41</v>
      </c>
      <c r="E9" s="216"/>
      <c r="F9" s="217"/>
      <c r="G9" s="215" t="s">
        <v>42</v>
      </c>
      <c r="H9" s="216"/>
      <c r="I9" s="217"/>
      <c r="J9" s="216" t="s">
        <v>43</v>
      </c>
      <c r="K9" s="216"/>
      <c r="L9" s="218"/>
    </row>
    <row r="10" spans="1:12" ht="74.25" customHeight="1">
      <c r="B10" s="221"/>
      <c r="C10" s="221"/>
      <c r="D10" s="48" t="s">
        <v>9</v>
      </c>
      <c r="E10" s="48" t="s">
        <v>11</v>
      </c>
      <c r="F10" s="52" t="s">
        <v>17</v>
      </c>
      <c r="G10" s="62" t="s">
        <v>15</v>
      </c>
      <c r="H10" s="48" t="s">
        <v>11</v>
      </c>
      <c r="I10" s="52" t="s">
        <v>16</v>
      </c>
      <c r="J10" s="49" t="s">
        <v>15</v>
      </c>
      <c r="K10" s="48" t="s">
        <v>11</v>
      </c>
      <c r="L10" s="48" t="s">
        <v>16</v>
      </c>
    </row>
    <row r="11" spans="1:12" ht="24" customHeight="1">
      <c r="B11" s="221"/>
      <c r="C11" s="221"/>
      <c r="D11" s="48" t="s">
        <v>10</v>
      </c>
      <c r="E11" s="48" t="s">
        <v>12</v>
      </c>
      <c r="F11" s="52" t="s">
        <v>13</v>
      </c>
      <c r="G11" s="62" t="s">
        <v>10</v>
      </c>
      <c r="H11" s="48" t="s">
        <v>12</v>
      </c>
      <c r="I11" s="52" t="s">
        <v>13</v>
      </c>
      <c r="J11" s="49" t="s">
        <v>10</v>
      </c>
      <c r="K11" s="48" t="s">
        <v>12</v>
      </c>
      <c r="L11" s="48" t="s">
        <v>13</v>
      </c>
    </row>
    <row r="12" spans="1:12" ht="16.5" customHeight="1">
      <c r="B12" s="25">
        <v>1</v>
      </c>
      <c r="C12" s="25">
        <v>2</v>
      </c>
      <c r="D12" s="25">
        <v>3</v>
      </c>
      <c r="E12" s="25">
        <v>4</v>
      </c>
      <c r="F12" s="53">
        <v>5</v>
      </c>
      <c r="G12" s="63">
        <v>6</v>
      </c>
      <c r="H12" s="25">
        <v>7</v>
      </c>
      <c r="I12" s="53">
        <v>8</v>
      </c>
      <c r="J12" s="51">
        <v>9</v>
      </c>
      <c r="K12" s="25">
        <v>10</v>
      </c>
      <c r="L12" s="25">
        <v>11</v>
      </c>
    </row>
    <row r="13" spans="1:12" ht="40.5" customHeight="1">
      <c r="A13" s="22"/>
      <c r="B13" s="101" t="s">
        <v>3</v>
      </c>
      <c r="C13" s="102" t="s">
        <v>25</v>
      </c>
      <c r="D13" s="46"/>
      <c r="E13" s="46"/>
      <c r="F13" s="56">
        <f>SUM(F15,F18,F21,F22,F30,F32,F35,F39,F38,F47)</f>
        <v>0</v>
      </c>
      <c r="G13" s="67"/>
      <c r="H13" s="46"/>
      <c r="I13" s="56">
        <f>SUM(I15,I18,I21,I22,I30)</f>
        <v>0</v>
      </c>
      <c r="J13" s="60"/>
      <c r="K13" s="46"/>
      <c r="L13" s="32" t="e">
        <f>SUM(L15,L18,L21,L22,L30)</f>
        <v>#DIV/0!</v>
      </c>
    </row>
    <row r="14" spans="1:12" ht="15.75" customHeight="1">
      <c r="A14" s="22"/>
      <c r="B14" s="236" t="s">
        <v>53</v>
      </c>
      <c r="C14" s="237"/>
      <c r="D14" s="34"/>
      <c r="E14" s="34"/>
      <c r="F14" s="57"/>
      <c r="G14" s="68"/>
      <c r="H14" s="34"/>
      <c r="I14" s="57"/>
      <c r="J14" s="34"/>
      <c r="K14" s="34"/>
      <c r="L14" s="35"/>
    </row>
    <row r="15" spans="1:12">
      <c r="A15" s="22"/>
      <c r="B15" s="103" t="s">
        <v>21</v>
      </c>
      <c r="C15" s="104" t="s">
        <v>27</v>
      </c>
      <c r="D15" s="36"/>
      <c r="E15" s="44">
        <f>SUM(E16:E17)</f>
        <v>0</v>
      </c>
      <c r="F15" s="54">
        <f>SUM(F16:F17)</f>
        <v>0</v>
      </c>
      <c r="G15" s="67"/>
      <c r="H15" s="47">
        <f>H16+H17</f>
        <v>0</v>
      </c>
      <c r="I15" s="69">
        <f>SUM(I16:I17)</f>
        <v>0</v>
      </c>
      <c r="J15" s="59"/>
      <c r="K15" s="44" t="e">
        <f>SUM(K16:K17)</f>
        <v>#DIV/0!</v>
      </c>
      <c r="L15" s="47" t="e">
        <f>SUM(L16:L17)</f>
        <v>#DIV/0!</v>
      </c>
    </row>
    <row r="16" spans="1:12">
      <c r="A16" s="22"/>
      <c r="B16" s="103"/>
      <c r="C16" s="104" t="s">
        <v>48</v>
      </c>
      <c r="D16" s="28" t="e">
        <f>F16*1000/E16</f>
        <v>#DIV/0!</v>
      </c>
      <c r="E16" s="29"/>
      <c r="F16" s="55"/>
      <c r="G16" s="67">
        <v>183673.47</v>
      </c>
      <c r="H16" s="32">
        <f>E16</f>
        <v>0</v>
      </c>
      <c r="I16" s="56">
        <f>G16*H16*$O$24*$Q$24/1000</f>
        <v>0</v>
      </c>
      <c r="J16" s="58"/>
      <c r="K16" s="29" t="e">
        <f>'Факт ТП за 3 года'!N15</f>
        <v>#DIV/0!</v>
      </c>
      <c r="L16" s="32" t="e">
        <f>J16*K16*$O$33*$Q$33/1000</f>
        <v>#DIV/0!</v>
      </c>
    </row>
    <row r="17" spans="1:18">
      <c r="A17" s="22"/>
      <c r="B17" s="103"/>
      <c r="C17" s="104" t="s">
        <v>49</v>
      </c>
      <c r="D17" s="28" t="e">
        <f t="shared" ref="D17:D30" si="0">F17*1000/E17</f>
        <v>#DIV/0!</v>
      </c>
      <c r="E17" s="29"/>
      <c r="F17" s="55"/>
      <c r="G17" s="67">
        <v>236734.69</v>
      </c>
      <c r="H17" s="32">
        <f>E17</f>
        <v>0</v>
      </c>
      <c r="I17" s="56">
        <f>G17*H17*$O$24*$Q$24/1000</f>
        <v>0</v>
      </c>
      <c r="J17" s="58"/>
      <c r="K17" s="29" t="e">
        <f>'Факт ТП за 3 года'!N16</f>
        <v>#DIV/0!</v>
      </c>
      <c r="L17" s="32" t="e">
        <f>J17*K17*$O$33*$Q$33/1000</f>
        <v>#DIV/0!</v>
      </c>
    </row>
    <row r="18" spans="1:18">
      <c r="A18" s="22"/>
      <c r="B18" s="103" t="s">
        <v>22</v>
      </c>
      <c r="C18" s="104" t="s">
        <v>29</v>
      </c>
      <c r="D18" s="50"/>
      <c r="E18" s="44">
        <f>SUM(E19:E20)</f>
        <v>0</v>
      </c>
      <c r="F18" s="54">
        <f>SUM(F19:F20)</f>
        <v>0</v>
      </c>
      <c r="G18" s="67"/>
      <c r="H18" s="47">
        <f>H19+H20</f>
        <v>0</v>
      </c>
      <c r="I18" s="69">
        <f>SUM(I19:I20)</f>
        <v>0</v>
      </c>
      <c r="J18" s="59"/>
      <c r="K18" s="44" t="e">
        <f>SUM(K19:K20)</f>
        <v>#DIV/0!</v>
      </c>
      <c r="L18" s="47" t="e">
        <f>SUM(L19:L20)</f>
        <v>#DIV/0!</v>
      </c>
    </row>
    <row r="19" spans="1:18">
      <c r="A19" s="22"/>
      <c r="B19" s="103"/>
      <c r="C19" s="104" t="s">
        <v>50</v>
      </c>
      <c r="D19" s="28" t="e">
        <f t="shared" si="0"/>
        <v>#DIV/0!</v>
      </c>
      <c r="E19" s="29"/>
      <c r="F19" s="55"/>
      <c r="G19" s="67">
        <v>151518.44</v>
      </c>
      <c r="H19" s="32">
        <f>E19</f>
        <v>0</v>
      </c>
      <c r="I19" s="56">
        <f>G19*H19*$O$25*$Q$25/1000</f>
        <v>0</v>
      </c>
      <c r="J19" s="58"/>
      <c r="K19" s="29" t="e">
        <f>'Факт ТП за 3 года'!N18</f>
        <v>#DIV/0!</v>
      </c>
      <c r="L19" s="32" t="e">
        <f>J19*K19*$O$34*$Q$34/1000</f>
        <v>#DIV/0!</v>
      </c>
    </row>
    <row r="20" spans="1:18">
      <c r="A20" s="22"/>
      <c r="B20" s="103"/>
      <c r="C20" s="104" t="s">
        <v>51</v>
      </c>
      <c r="D20" s="28" t="e">
        <f t="shared" si="0"/>
        <v>#DIV/0!</v>
      </c>
      <c r="E20" s="29"/>
      <c r="F20" s="55"/>
      <c r="G20" s="67">
        <v>289600.38</v>
      </c>
      <c r="H20" s="32">
        <f>E20</f>
        <v>0</v>
      </c>
      <c r="I20" s="56">
        <f>G20*H20*$O$25*$Q$25/1000</f>
        <v>0</v>
      </c>
      <c r="J20" s="58"/>
      <c r="K20" s="29" t="e">
        <f>'Факт ТП за 3 года'!N19</f>
        <v>#DIV/0!</v>
      </c>
      <c r="L20" s="32" t="e">
        <f>J20*K20*$O$34*$Q$34/1000</f>
        <v>#DIV/0!</v>
      </c>
    </row>
    <row r="21" spans="1:18">
      <c r="A21" s="22"/>
      <c r="B21" s="103" t="s">
        <v>23</v>
      </c>
      <c r="C21" s="104" t="s">
        <v>54</v>
      </c>
      <c r="D21" s="28" t="e">
        <f t="shared" si="0"/>
        <v>#DIV/0!</v>
      </c>
      <c r="E21" s="29"/>
      <c r="F21" s="55"/>
      <c r="G21" s="67">
        <v>75.989999999999995</v>
      </c>
      <c r="H21" s="32">
        <f>E21</f>
        <v>0</v>
      </c>
      <c r="I21" s="69">
        <f>G21*H21*$O$26*$Q$26/1000</f>
        <v>0</v>
      </c>
      <c r="J21" s="58"/>
      <c r="K21" s="29" t="e">
        <f>'Факт ТП за 3 года'!N20</f>
        <v>#DIV/0!</v>
      </c>
      <c r="L21" s="47" t="e">
        <f>J21*K21*$O$35*$Q$35/1000</f>
        <v>#DIV/0!</v>
      </c>
    </row>
    <row r="22" spans="1:18" ht="52.5" customHeight="1">
      <c r="A22" s="22"/>
      <c r="B22" s="103" t="s">
        <v>24</v>
      </c>
      <c r="C22" s="104" t="s">
        <v>32</v>
      </c>
      <c r="D22" s="36"/>
      <c r="E22" s="108">
        <f>H22</f>
        <v>0</v>
      </c>
      <c r="F22" s="109">
        <f>SUM(F23:F29)</f>
        <v>0</v>
      </c>
      <c r="G22" s="67"/>
      <c r="H22" s="47">
        <f>SUM(H23:H29)</f>
        <v>0</v>
      </c>
      <c r="I22" s="69">
        <f>SUM(I23:I29)</f>
        <v>0</v>
      </c>
      <c r="J22" s="61"/>
      <c r="K22" s="47" t="e">
        <f>SUM(K23:K29)</f>
        <v>#DIV/0!</v>
      </c>
      <c r="L22" s="47" t="e">
        <f>SUM(L23:L29)</f>
        <v>#DIV/0!</v>
      </c>
    </row>
    <row r="23" spans="1:18">
      <c r="A23" s="22"/>
      <c r="B23" s="103"/>
      <c r="C23" s="104" t="s">
        <v>58</v>
      </c>
      <c r="D23" s="28" t="e">
        <f t="shared" si="0"/>
        <v>#DIV/0!</v>
      </c>
      <c r="E23" s="29">
        <f t="shared" ref="E23:E29" si="1">H23</f>
        <v>0</v>
      </c>
      <c r="F23" s="55"/>
      <c r="G23" s="67">
        <v>648.32000000000005</v>
      </c>
      <c r="H23" s="32">
        <f>'Факт ПС за 3 года'!J10*'Факт ПС за 3 года'!K10+'Факт ПС за 3 года'!J11*'Факт ПС за 3 года'!K11+'Факт ПС за 3 года'!J12*'Факт ПС за 3 года'!K12+'Факт ПС за 3 года'!J13*'Факт ПС за 3 года'!K13</f>
        <v>0</v>
      </c>
      <c r="I23" s="56">
        <f>G23*H23*$O$26*$Q$26/1000</f>
        <v>0</v>
      </c>
      <c r="J23" s="58"/>
      <c r="K23" s="32" t="e">
        <f>'Факт ПС за 3 года'!M10*'Факт ПС за 3 года'!N10+'Факт ПС за 3 года'!M11*'Факт ПС за 3 года'!N11+'Факт ПС за 3 года'!M12*'Факт ПС за 3 года'!N12+'Факт ПС за 3 года'!M13*'Факт ПС за 3 года'!N13</f>
        <v>#DIV/0!</v>
      </c>
      <c r="L23" s="32" t="e">
        <f>J23*K23/1000</f>
        <v>#DIV/0!</v>
      </c>
      <c r="M23" s="37" t="s">
        <v>91</v>
      </c>
      <c r="N23" s="38" t="s">
        <v>83</v>
      </c>
      <c r="O23" s="38" t="s">
        <v>84</v>
      </c>
      <c r="P23" s="39" t="s">
        <v>90</v>
      </c>
      <c r="Q23" s="38" t="s">
        <v>88</v>
      </c>
      <c r="R23" s="38" t="s">
        <v>89</v>
      </c>
    </row>
    <row r="24" spans="1:18">
      <c r="A24" s="22"/>
      <c r="B24" s="103"/>
      <c r="C24" s="104" t="s">
        <v>55</v>
      </c>
      <c r="D24" s="28" t="e">
        <f t="shared" si="0"/>
        <v>#DIV/0!</v>
      </c>
      <c r="E24" s="29">
        <f t="shared" si="1"/>
        <v>0</v>
      </c>
      <c r="F24" s="55"/>
      <c r="G24" s="67">
        <v>445.19</v>
      </c>
      <c r="H24" s="32">
        <f>'Факт ПС за 3 года'!J14*'Факт ПС за 3 года'!K14</f>
        <v>0</v>
      </c>
      <c r="I24" s="56">
        <f t="shared" ref="I24:I29" si="2">G24*H24*$O$26*$Q$26/1000</f>
        <v>0</v>
      </c>
      <c r="J24" s="58"/>
      <c r="K24" s="32" t="e">
        <f>'Факт ПС за 3 года'!M14*'Факт ПС за 3 года'!N14</f>
        <v>#DIV/0!</v>
      </c>
      <c r="L24" s="32" t="e">
        <f t="shared" ref="L24:L29" si="3">J24*K24/1000</f>
        <v>#DIV/0!</v>
      </c>
      <c r="N24" s="38" t="s">
        <v>85</v>
      </c>
      <c r="O24" s="38">
        <f>(4.86+4.86+4.94+5.01)/4</f>
        <v>4.9175000000000004</v>
      </c>
      <c r="P24" s="38">
        <f>(4.86+4.86+5.51+5.59)/4</f>
        <v>5.2050000000000001</v>
      </c>
      <c r="Q24" s="38">
        <v>1.01</v>
      </c>
      <c r="R24" s="38">
        <v>1.02</v>
      </c>
    </row>
    <row r="25" spans="1:18">
      <c r="A25" s="22"/>
      <c r="B25" s="103"/>
      <c r="C25" s="104" t="s">
        <v>56</v>
      </c>
      <c r="D25" s="28" t="e">
        <f t="shared" si="0"/>
        <v>#DIV/0!</v>
      </c>
      <c r="E25" s="29">
        <f>H25</f>
        <v>0</v>
      </c>
      <c r="F25" s="55"/>
      <c r="G25" s="67">
        <v>321.88</v>
      </c>
      <c r="H25" s="32">
        <f>'Факт ПС за 3 года'!J15*'Факт ПС за 3 года'!K15</f>
        <v>0</v>
      </c>
      <c r="I25" s="56">
        <f t="shared" si="2"/>
        <v>0</v>
      </c>
      <c r="J25" s="58"/>
      <c r="K25" s="32" t="e">
        <f>'Факт ПС за 3 года'!M15*'Факт ПС за 3 года'!N15</f>
        <v>#DIV/0!</v>
      </c>
      <c r="L25" s="32" t="e">
        <f t="shared" si="3"/>
        <v>#DIV/0!</v>
      </c>
      <c r="N25" s="38" t="s">
        <v>86</v>
      </c>
      <c r="O25" s="38">
        <f>(7.24+7.24+7.36+7.46)/4</f>
        <v>7.3250000000000002</v>
      </c>
      <c r="P25" s="38">
        <f>(7.24+7.24+9.15+9.28)/4</f>
        <v>8.2275000000000009</v>
      </c>
      <c r="Q25" s="38">
        <v>1.01</v>
      </c>
      <c r="R25" s="38">
        <v>1.02</v>
      </c>
    </row>
    <row r="26" spans="1:18">
      <c r="A26" s="22"/>
      <c r="B26" s="103"/>
      <c r="C26" s="104" t="s">
        <v>57</v>
      </c>
      <c r="D26" s="28" t="e">
        <f t="shared" si="0"/>
        <v>#DIV/0!</v>
      </c>
      <c r="E26" s="29">
        <f>H26</f>
        <v>0</v>
      </c>
      <c r="F26" s="55"/>
      <c r="G26" s="67">
        <v>339.24</v>
      </c>
      <c r="H26" s="32">
        <f>'Факт ПС за 3 года'!J16*'Факт ПС за 3 года'!K16</f>
        <v>0</v>
      </c>
      <c r="I26" s="56">
        <f t="shared" si="2"/>
        <v>0</v>
      </c>
      <c r="J26" s="58"/>
      <c r="K26" s="32" t="e">
        <f>'Факт ПС за 3 года'!M16*'Факт ПС за 3 года'!N16</f>
        <v>#DIV/0!</v>
      </c>
      <c r="L26" s="32" t="e">
        <f t="shared" si="3"/>
        <v>#DIV/0!</v>
      </c>
      <c r="N26" s="38" t="s">
        <v>87</v>
      </c>
      <c r="O26" s="38">
        <f>(8.87+8.87+9.01+9.14)/4</f>
        <v>8.9725000000000001</v>
      </c>
      <c r="P26" s="38">
        <f>(8.87+8.87+10.75+10.9)/4</f>
        <v>9.8475000000000001</v>
      </c>
      <c r="Q26" s="38">
        <v>1.01</v>
      </c>
      <c r="R26" s="38">
        <v>1.02</v>
      </c>
    </row>
    <row r="27" spans="1:18">
      <c r="A27" s="22"/>
      <c r="B27" s="103"/>
      <c r="C27" s="105" t="s">
        <v>59</v>
      </c>
      <c r="D27" s="28" t="e">
        <f t="shared" si="0"/>
        <v>#DIV/0!</v>
      </c>
      <c r="E27" s="29">
        <f t="shared" si="1"/>
        <v>0</v>
      </c>
      <c r="F27" s="55"/>
      <c r="G27" s="67">
        <v>234.05</v>
      </c>
      <c r="H27" s="32">
        <f>'Факт ПС за 3 года'!J17*'Факт ПС за 3 года'!K17+'Факт ПС за 3 года'!J18*'Факт ПС за 3 года'!K18+'Факт ПС за 3 года'!J19*'Факт ПС за 3 года'!K19</f>
        <v>0</v>
      </c>
      <c r="I27" s="56">
        <f t="shared" si="2"/>
        <v>0</v>
      </c>
      <c r="J27" s="58"/>
      <c r="K27" s="32" t="e">
        <f>'Факт ПС за 3 года'!M17*'Факт ПС за 3 года'!N17+'Факт ПС за 3 года'!M18*'Факт ПС за 3 года'!N18+'Факт ПС за 3 года'!M19*'Факт ПС за 3 года'!N19</f>
        <v>#DIV/0!</v>
      </c>
      <c r="L27" s="32" t="e">
        <f t="shared" si="3"/>
        <v>#DIV/0!</v>
      </c>
      <c r="M27" s="37"/>
      <c r="N27" s="41"/>
      <c r="O27" s="41"/>
      <c r="P27" s="41"/>
      <c r="Q27" s="41"/>
      <c r="R27" s="41"/>
    </row>
    <row r="28" spans="1:18">
      <c r="A28" s="22"/>
      <c r="B28" s="103"/>
      <c r="C28" s="105" t="s">
        <v>73</v>
      </c>
      <c r="D28" s="28" t="e">
        <f t="shared" si="0"/>
        <v>#DIV/0!</v>
      </c>
      <c r="E28" s="29">
        <f t="shared" si="1"/>
        <v>0</v>
      </c>
      <c r="F28" s="55"/>
      <c r="G28" s="67">
        <v>2109.42</v>
      </c>
      <c r="H28" s="32">
        <f>'Факт ПС за 3 года'!J20*'Факт ПС за 3 года'!K20</f>
        <v>0</v>
      </c>
      <c r="I28" s="56">
        <f t="shared" si="2"/>
        <v>0</v>
      </c>
      <c r="J28" s="58"/>
      <c r="K28" s="32" t="e">
        <f>'Факт ПС за 3 года'!M20*'Факт ПС за 3 года'!N20</f>
        <v>#DIV/0!</v>
      </c>
      <c r="L28" s="32" t="e">
        <f t="shared" si="3"/>
        <v>#DIV/0!</v>
      </c>
      <c r="M28" s="37"/>
    </row>
    <row r="29" spans="1:18">
      <c r="A29" s="22"/>
      <c r="B29" s="103"/>
      <c r="C29" s="105" t="s">
        <v>74</v>
      </c>
      <c r="D29" s="28" t="e">
        <f t="shared" si="0"/>
        <v>#DIV/0!</v>
      </c>
      <c r="E29" s="29">
        <f t="shared" si="1"/>
        <v>0</v>
      </c>
      <c r="F29" s="55"/>
      <c r="G29" s="67">
        <v>1930.99</v>
      </c>
      <c r="H29" s="32">
        <f>'Факт ПС за 3 года'!J21*'Факт ПС за 3 года'!K21</f>
        <v>0</v>
      </c>
      <c r="I29" s="56">
        <f t="shared" si="2"/>
        <v>0</v>
      </c>
      <c r="J29" s="58"/>
      <c r="K29" s="32" t="e">
        <f>'Факт ПС за 3 года'!M21*'Факт ПС за 3 года'!N21</f>
        <v>#DIV/0!</v>
      </c>
      <c r="L29" s="32" t="e">
        <f t="shared" si="3"/>
        <v>#DIV/0!</v>
      </c>
      <c r="M29" s="37"/>
    </row>
    <row r="30" spans="1:18" ht="24.75" customHeight="1">
      <c r="A30" s="22"/>
      <c r="B30" s="106" t="s">
        <v>113</v>
      </c>
      <c r="C30" s="107" t="s">
        <v>34</v>
      </c>
      <c r="D30" s="28" t="e">
        <f t="shared" si="0"/>
        <v>#DIV/0!</v>
      </c>
      <c r="E30" s="29"/>
      <c r="F30" s="55"/>
      <c r="G30" s="66"/>
      <c r="H30" s="32">
        <f>'Факт ПС за 3 года'!J26*'Факт ПС за 3 года'!K26</f>
        <v>0</v>
      </c>
      <c r="I30" s="56">
        <f>G30*H30*$O$26*$Q$26/1000</f>
        <v>0</v>
      </c>
      <c r="J30" s="58"/>
      <c r="K30" s="29" t="e">
        <f>'Факт ТП за 3 года'!N29</f>
        <v>#DIV/0!</v>
      </c>
      <c r="L30" s="32" t="e">
        <f>J30*K30/1000</f>
        <v>#DIV/0!</v>
      </c>
      <c r="M30" s="37"/>
    </row>
    <row r="31" spans="1:18" ht="18.75" customHeight="1">
      <c r="A31" s="22"/>
      <c r="B31" s="219" t="s">
        <v>60</v>
      </c>
      <c r="C31" s="220"/>
      <c r="D31" s="34"/>
      <c r="E31" s="34"/>
      <c r="F31" s="57"/>
      <c r="G31" s="68"/>
      <c r="H31" s="34"/>
      <c r="I31" s="57"/>
      <c r="J31" s="34"/>
      <c r="K31" s="34"/>
      <c r="L31" s="35"/>
    </row>
    <row r="32" spans="1:18">
      <c r="A32" s="22"/>
      <c r="B32" s="48" t="s">
        <v>114</v>
      </c>
      <c r="C32" s="31" t="s">
        <v>27</v>
      </c>
      <c r="D32" s="36"/>
      <c r="E32" s="44">
        <f>SUM(E33:E34)</f>
        <v>0</v>
      </c>
      <c r="F32" s="54">
        <f>SUM(F33:F34)</f>
        <v>0</v>
      </c>
      <c r="G32" s="67"/>
      <c r="H32" s="47">
        <f>H33+H34</f>
        <v>0</v>
      </c>
      <c r="I32" s="69">
        <f>SUM(I33:I34)</f>
        <v>0</v>
      </c>
      <c r="J32" s="59"/>
      <c r="K32" s="44" t="e">
        <f>SUM(K33:K34)</f>
        <v>#DIV/0!</v>
      </c>
      <c r="L32" s="47" t="e">
        <f>SUM(L33:L34)</f>
        <v>#DIV/0!</v>
      </c>
      <c r="M32" s="37" t="s">
        <v>92</v>
      </c>
      <c r="N32" s="38" t="s">
        <v>83</v>
      </c>
      <c r="O32" s="38" t="s">
        <v>84</v>
      </c>
      <c r="P32" s="39" t="s">
        <v>90</v>
      </c>
      <c r="Q32" s="38" t="s">
        <v>88</v>
      </c>
      <c r="R32" s="38" t="s">
        <v>89</v>
      </c>
    </row>
    <row r="33" spans="1:18">
      <c r="A33" s="22"/>
      <c r="B33" s="48"/>
      <c r="C33" s="31" t="s">
        <v>48</v>
      </c>
      <c r="D33" s="28" t="e">
        <f>F33*1000/E33</f>
        <v>#DIV/0!</v>
      </c>
      <c r="E33" s="29"/>
      <c r="F33" s="55"/>
      <c r="G33" s="67">
        <v>183673.47</v>
      </c>
      <c r="H33" s="32">
        <f>E33</f>
        <v>0</v>
      </c>
      <c r="I33" s="56">
        <f>G33*H33*$P$24*$R$24/1000</f>
        <v>0</v>
      </c>
      <c r="J33" s="58"/>
      <c r="K33" s="29" t="e">
        <f>'Факт ТП за 3 года'!N32</f>
        <v>#DIV/0!</v>
      </c>
      <c r="L33" s="32" t="e">
        <f>J33*K33*$O$33*$Q$33/1000</f>
        <v>#DIV/0!</v>
      </c>
      <c r="N33" s="38" t="s">
        <v>85</v>
      </c>
      <c r="O33" s="74">
        <v>4.8</v>
      </c>
      <c r="P33" s="74"/>
      <c r="Q33" s="75">
        <v>1.01</v>
      </c>
      <c r="R33" s="75">
        <v>1.02</v>
      </c>
    </row>
    <row r="34" spans="1:18">
      <c r="A34" s="22"/>
      <c r="B34" s="48"/>
      <c r="C34" s="31" t="s">
        <v>49</v>
      </c>
      <c r="D34" s="28" t="e">
        <f t="shared" ref="D34" si="4">F34*1000/E34</f>
        <v>#DIV/0!</v>
      </c>
      <c r="E34" s="29"/>
      <c r="F34" s="55"/>
      <c r="G34" s="67">
        <v>236734.69</v>
      </c>
      <c r="H34" s="32">
        <f>E34</f>
        <v>0</v>
      </c>
      <c r="I34" s="56">
        <f>G34*H34*$P$24*$R$24/1000</f>
        <v>0</v>
      </c>
      <c r="J34" s="58"/>
      <c r="K34" s="29" t="e">
        <f>'Факт ТП за 3 года'!N33</f>
        <v>#DIV/0!</v>
      </c>
      <c r="L34" s="32" t="e">
        <f>J34*K34*$O$33*$Q$33/1000</f>
        <v>#DIV/0!</v>
      </c>
      <c r="N34" s="38" t="s">
        <v>86</v>
      </c>
      <c r="O34" s="74">
        <v>7.06</v>
      </c>
      <c r="P34" s="74"/>
      <c r="Q34" s="75">
        <v>1.01</v>
      </c>
      <c r="R34" s="75">
        <v>1.02</v>
      </c>
    </row>
    <row r="35" spans="1:18">
      <c r="A35" s="22"/>
      <c r="B35" s="48" t="s">
        <v>115</v>
      </c>
      <c r="C35" s="31" t="s">
        <v>29</v>
      </c>
      <c r="D35" s="50"/>
      <c r="E35" s="44">
        <f>SUM(E36:E37)</f>
        <v>0</v>
      </c>
      <c r="F35" s="54">
        <f>SUM(F36:F37)</f>
        <v>0</v>
      </c>
      <c r="G35" s="67"/>
      <c r="H35" s="47">
        <f>H36+H37</f>
        <v>0</v>
      </c>
      <c r="I35" s="69">
        <f>SUM(I36:I37)</f>
        <v>0</v>
      </c>
      <c r="J35" s="59"/>
      <c r="K35" s="44" t="e">
        <f>SUM(K36:K37)</f>
        <v>#DIV/0!</v>
      </c>
      <c r="L35" s="47" t="e">
        <f>SUM(L36:L37)</f>
        <v>#DIV/0!</v>
      </c>
      <c r="N35" s="38" t="s">
        <v>87</v>
      </c>
      <c r="O35" s="74">
        <v>8.65</v>
      </c>
      <c r="P35" s="74"/>
      <c r="Q35" s="75">
        <v>1.01</v>
      </c>
      <c r="R35" s="75">
        <v>1.02</v>
      </c>
    </row>
    <row r="36" spans="1:18">
      <c r="A36" s="22"/>
      <c r="B36" s="48"/>
      <c r="C36" s="31" t="s">
        <v>50</v>
      </c>
      <c r="D36" s="28" t="e">
        <f t="shared" ref="D36:D38" si="5">F36*1000/E36</f>
        <v>#DIV/0!</v>
      </c>
      <c r="E36" s="29"/>
      <c r="F36" s="55"/>
      <c r="G36" s="67">
        <v>151518.44</v>
      </c>
      <c r="H36" s="32">
        <f>E36</f>
        <v>0</v>
      </c>
      <c r="I36" s="56">
        <f>G36*H36*$P$24*$R$24/1000</f>
        <v>0</v>
      </c>
      <c r="J36" s="58"/>
      <c r="K36" s="29" t="e">
        <f>'Факт ТП за 3 года'!N35</f>
        <v>#DIV/0!</v>
      </c>
      <c r="L36" s="32" t="e">
        <f>J36*K36*$O$34*$Q$34/1000</f>
        <v>#DIV/0!</v>
      </c>
    </row>
    <row r="37" spans="1:18">
      <c r="A37" s="22"/>
      <c r="B37" s="48"/>
      <c r="C37" s="31" t="s">
        <v>51</v>
      </c>
      <c r="D37" s="28" t="e">
        <f t="shared" si="5"/>
        <v>#DIV/0!</v>
      </c>
      <c r="E37" s="29"/>
      <c r="F37" s="55"/>
      <c r="G37" s="67">
        <v>289600.38</v>
      </c>
      <c r="H37" s="32">
        <f>E37</f>
        <v>0</v>
      </c>
      <c r="I37" s="56">
        <f>G37*H37*$P$24*$R$24/1000</f>
        <v>0</v>
      </c>
      <c r="J37" s="58"/>
      <c r="K37" s="29" t="e">
        <f>'Факт ТП за 3 года'!N36</f>
        <v>#DIV/0!</v>
      </c>
      <c r="L37" s="32" t="e">
        <f>J37*K37*$O$34*$Q$34/1000</f>
        <v>#DIV/0!</v>
      </c>
    </row>
    <row r="38" spans="1:18">
      <c r="A38" s="22"/>
      <c r="B38" s="48" t="s">
        <v>116</v>
      </c>
      <c r="C38" s="31" t="s">
        <v>54</v>
      </c>
      <c r="D38" s="28" t="e">
        <f t="shared" si="5"/>
        <v>#DIV/0!</v>
      </c>
      <c r="E38" s="29"/>
      <c r="F38" s="55"/>
      <c r="G38" s="67">
        <v>75.989999999999995</v>
      </c>
      <c r="H38" s="32">
        <f>E38</f>
        <v>0</v>
      </c>
      <c r="I38" s="69">
        <f>G38*H38*$O$26*$Q$26/1000</f>
        <v>0</v>
      </c>
      <c r="J38" s="58"/>
      <c r="K38" s="29" t="e">
        <f>'Факт ТП за 3 года'!N37</f>
        <v>#DIV/0!</v>
      </c>
      <c r="L38" s="47" t="e">
        <f>J38*K38*$O$35*$Q$35/1000</f>
        <v>#DIV/0!</v>
      </c>
    </row>
    <row r="39" spans="1:18" ht="48">
      <c r="A39" s="22"/>
      <c r="B39" s="48" t="s">
        <v>117</v>
      </c>
      <c r="C39" s="31" t="s">
        <v>32</v>
      </c>
      <c r="D39" s="36"/>
      <c r="E39" s="108">
        <f>H39</f>
        <v>0</v>
      </c>
      <c r="F39" s="109">
        <f>SUM(F40:F46)</f>
        <v>0</v>
      </c>
      <c r="G39" s="67"/>
      <c r="H39" s="47">
        <f>SUM(H40:H46)</f>
        <v>0</v>
      </c>
      <c r="I39" s="69">
        <f>SUM(I40:I46)</f>
        <v>0</v>
      </c>
      <c r="J39" s="61"/>
      <c r="K39" s="47" t="e">
        <f>SUM(K40:K46)</f>
        <v>#DIV/0!</v>
      </c>
      <c r="L39" s="47" t="e">
        <f>SUM(L40:L46)</f>
        <v>#DIV/0!</v>
      </c>
    </row>
    <row r="40" spans="1:18">
      <c r="A40" s="22"/>
      <c r="B40" s="48"/>
      <c r="C40" s="40" t="s">
        <v>58</v>
      </c>
      <c r="D40" s="28" t="e">
        <f t="shared" ref="D40:D47" si="6">F40*1000/E40</f>
        <v>#DIV/0!</v>
      </c>
      <c r="E40" s="29">
        <f t="shared" ref="E40:E41" si="7">H40</f>
        <v>0</v>
      </c>
      <c r="F40" s="55"/>
      <c r="G40" s="67">
        <v>648.32000000000005</v>
      </c>
      <c r="H40" s="32">
        <f>'Факт ПС за 3 года'!J27*'Факт ПС за 3 года'!K27+'Факт ПС за 3 года'!J28*'Факт ПС за 3 года'!K28+'Факт ПС за 3 года'!J29*'Факт ПС за 3 года'!K29+'Факт ПС за 3 года'!J30*'Факт ПС за 3 года'!K30</f>
        <v>0</v>
      </c>
      <c r="I40" s="56">
        <f>G40*H40*$P$26*$R$26/1000</f>
        <v>0</v>
      </c>
      <c r="J40" s="58"/>
      <c r="K40" s="32" t="e">
        <f>'Факт ПС за 3 года'!M27*'Факт ПС за 3 года'!N27+'Факт ПС за 3 года'!M28*'Факт ПС за 3 года'!N28+'Факт ПС за 3 года'!M29*'Факт ПС за 3 года'!N29+'Факт ПС за 3 года'!M30*'Факт ПС за 3 года'!N30</f>
        <v>#DIV/0!</v>
      </c>
      <c r="L40" s="32" t="e">
        <f>J40*K40/1000</f>
        <v>#DIV/0!</v>
      </c>
    </row>
    <row r="41" spans="1:18">
      <c r="A41" s="22"/>
      <c r="B41" s="48"/>
      <c r="C41" s="40" t="s">
        <v>55</v>
      </c>
      <c r="D41" s="28" t="e">
        <f t="shared" si="6"/>
        <v>#DIV/0!</v>
      </c>
      <c r="E41" s="29">
        <f t="shared" si="7"/>
        <v>0</v>
      </c>
      <c r="F41" s="55"/>
      <c r="G41" s="67">
        <v>445.19</v>
      </c>
      <c r="H41" s="32">
        <f>'Факт ПС за 3 года'!J31*'Факт ПС за 3 года'!K31</f>
        <v>0</v>
      </c>
      <c r="I41" s="56">
        <f t="shared" ref="I41:I46" si="8">G41*H41*$P$26*$R$26/1000</f>
        <v>0</v>
      </c>
      <c r="J41" s="58"/>
      <c r="K41" s="32" t="e">
        <f>'Факт ПС за 3 года'!M31*'Факт ПС за 3 года'!N31</f>
        <v>#DIV/0!</v>
      </c>
      <c r="L41" s="32" t="e">
        <f t="shared" ref="L41:L46" si="9">J41*K41/1000</f>
        <v>#DIV/0!</v>
      </c>
    </row>
    <row r="42" spans="1:18">
      <c r="A42" s="22"/>
      <c r="B42" s="48"/>
      <c r="C42" s="40" t="s">
        <v>56</v>
      </c>
      <c r="D42" s="28" t="e">
        <f t="shared" si="6"/>
        <v>#DIV/0!</v>
      </c>
      <c r="E42" s="29">
        <f>H42</f>
        <v>0</v>
      </c>
      <c r="F42" s="55"/>
      <c r="G42" s="67">
        <v>321.88</v>
      </c>
      <c r="H42" s="32">
        <f>'Факт ПС за 3 года'!J32*'Факт ПС за 3 года'!K32</f>
        <v>0</v>
      </c>
      <c r="I42" s="56">
        <f t="shared" si="8"/>
        <v>0</v>
      </c>
      <c r="J42" s="58"/>
      <c r="K42" s="32" t="e">
        <f>'Факт ПС за 3 года'!M32*'Факт ПС за 3 года'!N32</f>
        <v>#DIV/0!</v>
      </c>
      <c r="L42" s="32" t="e">
        <f t="shared" si="9"/>
        <v>#DIV/0!</v>
      </c>
    </row>
    <row r="43" spans="1:18">
      <c r="A43" s="22"/>
      <c r="B43" s="48"/>
      <c r="C43" s="40" t="s">
        <v>57</v>
      </c>
      <c r="D43" s="28" t="e">
        <f t="shared" si="6"/>
        <v>#DIV/0!</v>
      </c>
      <c r="E43" s="29">
        <f>H43</f>
        <v>0</v>
      </c>
      <c r="F43" s="55"/>
      <c r="G43" s="67">
        <v>339.24</v>
      </c>
      <c r="H43" s="32">
        <f>'Факт ПС за 3 года'!J33*'Факт ПС за 3 года'!K33</f>
        <v>0</v>
      </c>
      <c r="I43" s="56">
        <f t="shared" si="8"/>
        <v>0</v>
      </c>
      <c r="J43" s="58"/>
      <c r="K43" s="32" t="e">
        <f>'Факт ПС за 3 года'!M33*'Факт ПС за 3 года'!N33</f>
        <v>#DIV/0!</v>
      </c>
      <c r="L43" s="32" t="e">
        <f t="shared" si="9"/>
        <v>#DIV/0!</v>
      </c>
    </row>
    <row r="44" spans="1:18">
      <c r="A44" s="22"/>
      <c r="B44" s="48"/>
      <c r="C44" s="40" t="s">
        <v>59</v>
      </c>
      <c r="D44" s="28" t="e">
        <f t="shared" si="6"/>
        <v>#DIV/0!</v>
      </c>
      <c r="E44" s="29">
        <f t="shared" ref="E44:E46" si="10">H44</f>
        <v>0</v>
      </c>
      <c r="F44" s="55"/>
      <c r="G44" s="67">
        <v>234.05</v>
      </c>
      <c r="H44" s="32">
        <f>'Факт ПС за 3 года'!J34*'Факт ПС за 3 года'!K34+'Факт ПС за 3 года'!J35*'Факт ПС за 3 года'!K35+'Факт ПС за 3 года'!J36*'Факт ПС за 3 года'!K36</f>
        <v>0</v>
      </c>
      <c r="I44" s="56">
        <f t="shared" si="8"/>
        <v>0</v>
      </c>
      <c r="J44" s="58"/>
      <c r="K44" s="32" t="e">
        <f>'Факт ПС за 3 года'!M34*'Факт ПС за 3 года'!N34+'Факт ПС за 3 года'!M35*'Факт ПС за 3 года'!N35+'Факт ПС за 3 года'!M36*'Факт ПС за 3 года'!N36</f>
        <v>#DIV/0!</v>
      </c>
      <c r="L44" s="32" t="e">
        <f t="shared" si="9"/>
        <v>#DIV/0!</v>
      </c>
      <c r="P44" s="100" t="s">
        <v>40</v>
      </c>
    </row>
    <row r="45" spans="1:18">
      <c r="A45" s="22"/>
      <c r="B45" s="48"/>
      <c r="C45" s="40" t="s">
        <v>73</v>
      </c>
      <c r="D45" s="28" t="e">
        <f t="shared" si="6"/>
        <v>#DIV/0!</v>
      </c>
      <c r="E45" s="29">
        <f t="shared" si="10"/>
        <v>0</v>
      </c>
      <c r="F45" s="55"/>
      <c r="G45" s="67">
        <v>2109.42</v>
      </c>
      <c r="H45" s="32">
        <f>'Факт ПС за 3 года'!J37*'Факт ПС за 3 года'!K37</f>
        <v>0</v>
      </c>
      <c r="I45" s="56">
        <f t="shared" si="8"/>
        <v>0</v>
      </c>
      <c r="J45" s="58"/>
      <c r="K45" s="32" t="e">
        <f>'Факт ПС за 3 года'!M37*'Факт ПС за 3 года'!N37</f>
        <v>#DIV/0!</v>
      </c>
      <c r="L45" s="32" t="e">
        <f t="shared" si="9"/>
        <v>#DIV/0!</v>
      </c>
    </row>
    <row r="46" spans="1:18">
      <c r="A46" s="22"/>
      <c r="B46" s="48"/>
      <c r="C46" s="40" t="s">
        <v>74</v>
      </c>
      <c r="D46" s="28" t="e">
        <f t="shared" si="6"/>
        <v>#DIV/0!</v>
      </c>
      <c r="E46" s="29">
        <f t="shared" si="10"/>
        <v>0</v>
      </c>
      <c r="F46" s="55"/>
      <c r="G46" s="67">
        <v>1930.99</v>
      </c>
      <c r="H46" s="32">
        <f>'Факт ПС за 3 года'!J38*'Факт ПС за 3 года'!K38</f>
        <v>0</v>
      </c>
      <c r="I46" s="56">
        <f t="shared" si="8"/>
        <v>0</v>
      </c>
      <c r="J46" s="58"/>
      <c r="K46" s="32" t="e">
        <f>'Факт ПС за 3 года'!M38*'Факт ПС за 3 года'!N38</f>
        <v>#DIV/0!</v>
      </c>
      <c r="L46" s="32" t="e">
        <f t="shared" si="9"/>
        <v>#DIV/0!</v>
      </c>
    </row>
    <row r="47" spans="1:18" ht="24">
      <c r="A47" s="22"/>
      <c r="B47" s="48" t="s">
        <v>118</v>
      </c>
      <c r="C47" s="40" t="s">
        <v>34</v>
      </c>
      <c r="D47" s="28" t="e">
        <f t="shared" si="6"/>
        <v>#DIV/0!</v>
      </c>
      <c r="E47" s="29"/>
      <c r="F47" s="55"/>
      <c r="G47" s="66"/>
      <c r="H47" s="32">
        <f>'Факт ПС за 3 года'!J43*'Факт ПС за 3 года'!K43</f>
        <v>0</v>
      </c>
      <c r="I47" s="56">
        <f>G47*H47*$P$26*$R$26/1000</f>
        <v>0</v>
      </c>
      <c r="J47" s="58"/>
      <c r="K47" s="29" t="e">
        <f>'Факт ТП за 3 года'!N46</f>
        <v>#DIV/0!</v>
      </c>
      <c r="L47" s="32" t="e">
        <f>J47*K47/1000</f>
        <v>#DIV/0!</v>
      </c>
    </row>
    <row r="48" spans="1:18" ht="26.25" customHeight="1">
      <c r="A48" s="22"/>
      <c r="B48" s="26" t="s">
        <v>4</v>
      </c>
      <c r="C48" s="45" t="s">
        <v>35</v>
      </c>
      <c r="D48" s="36"/>
      <c r="E48" s="36"/>
      <c r="F48" s="69">
        <f>SUM(F49,F52,F56,F64,F66,F69,F72,F55,F73,F81)</f>
        <v>0</v>
      </c>
      <c r="G48" s="70"/>
      <c r="H48" s="36"/>
      <c r="I48" s="69">
        <f>SUM(I49,I52,I56,I64,I66,I69,I72,I55,I73,I81)</f>
        <v>0</v>
      </c>
      <c r="J48" s="59"/>
      <c r="K48" s="36"/>
      <c r="L48" s="69" t="e">
        <f>SUM(L49,L52,L56,L64,L66,L69,L72,L55,L73,L81)</f>
        <v>#DIV/0!</v>
      </c>
    </row>
    <row r="49" spans="1:18">
      <c r="A49" s="22"/>
      <c r="B49" s="103" t="s">
        <v>26</v>
      </c>
      <c r="C49" s="104" t="s">
        <v>27</v>
      </c>
      <c r="D49" s="36"/>
      <c r="E49" s="44">
        <f>SUM(E50:E51)</f>
        <v>0</v>
      </c>
      <c r="F49" s="54">
        <f>SUM(F50:F51)</f>
        <v>0</v>
      </c>
      <c r="G49" s="67"/>
      <c r="H49" s="47">
        <f>H50+H51</f>
        <v>0</v>
      </c>
      <c r="I49" s="69">
        <f>SUM(I50:I51)</f>
        <v>0</v>
      </c>
      <c r="J49" s="59"/>
      <c r="K49" s="44" t="e">
        <f>SUM(K50:K51)</f>
        <v>#DIV/0!</v>
      </c>
      <c r="L49" s="47" t="e">
        <f>SUM(L50:L51)</f>
        <v>#DIV/0!</v>
      </c>
    </row>
    <row r="50" spans="1:18">
      <c r="A50" s="22"/>
      <c r="B50" s="103"/>
      <c r="C50" s="104" t="s">
        <v>48</v>
      </c>
      <c r="D50" s="28" t="e">
        <f>F50*1000/E50</f>
        <v>#DIV/0!</v>
      </c>
      <c r="E50" s="29"/>
      <c r="F50" s="55"/>
      <c r="G50" s="67">
        <v>183673.47</v>
      </c>
      <c r="H50" s="32">
        <f>E50</f>
        <v>0</v>
      </c>
      <c r="I50" s="56">
        <f>G50*H50*$O$24*$Q$24/1000</f>
        <v>0</v>
      </c>
      <c r="J50" s="58"/>
      <c r="K50" s="29" t="e">
        <f>K16</f>
        <v>#DIV/0!</v>
      </c>
      <c r="L50" s="32" t="e">
        <f>J50*K50*$O$33*$Q$33/1000</f>
        <v>#DIV/0!</v>
      </c>
    </row>
    <row r="51" spans="1:18">
      <c r="A51" s="22"/>
      <c r="B51" s="103"/>
      <c r="C51" s="104" t="s">
        <v>49</v>
      </c>
      <c r="D51" s="28" t="e">
        <f t="shared" ref="D51" si="11">F51*1000/E51</f>
        <v>#DIV/0!</v>
      </c>
      <c r="E51" s="29"/>
      <c r="F51" s="55"/>
      <c r="G51" s="67">
        <v>236734.69</v>
      </c>
      <c r="H51" s="32">
        <f>E51</f>
        <v>0</v>
      </c>
      <c r="I51" s="56">
        <f>G51*H51*$O$24*$Q$24/1000</f>
        <v>0</v>
      </c>
      <c r="J51" s="58"/>
      <c r="K51" s="29" t="e">
        <f>K17</f>
        <v>#DIV/0!</v>
      </c>
      <c r="L51" s="32" t="e">
        <f>J51*K51*$O$33*$Q$33/1000</f>
        <v>#DIV/0!</v>
      </c>
    </row>
    <row r="52" spans="1:18">
      <c r="A52" s="22"/>
      <c r="B52" s="103" t="s">
        <v>28</v>
      </c>
      <c r="C52" s="104" t="s">
        <v>29</v>
      </c>
      <c r="D52" s="50"/>
      <c r="E52" s="44">
        <f>SUM(E53:E54)</f>
        <v>0</v>
      </c>
      <c r="F52" s="54">
        <f>SUM(F53:F54)</f>
        <v>0</v>
      </c>
      <c r="G52" s="67"/>
      <c r="H52" s="47">
        <f>H53+H54</f>
        <v>0</v>
      </c>
      <c r="I52" s="69">
        <f>SUM(I53:I54)</f>
        <v>0</v>
      </c>
      <c r="J52" s="59"/>
      <c r="K52" s="44" t="e">
        <f>SUM(K53:K54)</f>
        <v>#DIV/0!</v>
      </c>
      <c r="L52" s="47" t="e">
        <f>SUM(L53:L54)</f>
        <v>#DIV/0!</v>
      </c>
    </row>
    <row r="53" spans="1:18">
      <c r="A53" s="22"/>
      <c r="B53" s="103"/>
      <c r="C53" s="104" t="s">
        <v>50</v>
      </c>
      <c r="D53" s="28" t="e">
        <f t="shared" ref="D53:D55" si="12">F53*1000/E53</f>
        <v>#DIV/0!</v>
      </c>
      <c r="E53" s="29"/>
      <c r="F53" s="55"/>
      <c r="G53" s="67">
        <v>151518.44</v>
      </c>
      <c r="H53" s="32">
        <f>E53</f>
        <v>0</v>
      </c>
      <c r="I53" s="56">
        <f>G53*H53*$O$25*$Q$25/1000</f>
        <v>0</v>
      </c>
      <c r="J53" s="58"/>
      <c r="K53" s="29" t="e">
        <f>K19</f>
        <v>#DIV/0!</v>
      </c>
      <c r="L53" s="32" t="e">
        <f>J53*K53*$O$34*$Q$34/1000</f>
        <v>#DIV/0!</v>
      </c>
    </row>
    <row r="54" spans="1:18">
      <c r="A54" s="22"/>
      <c r="B54" s="103"/>
      <c r="C54" s="104" t="s">
        <v>51</v>
      </c>
      <c r="D54" s="28" t="e">
        <f t="shared" si="12"/>
        <v>#DIV/0!</v>
      </c>
      <c r="E54" s="29"/>
      <c r="F54" s="55"/>
      <c r="G54" s="67">
        <v>289600.38</v>
      </c>
      <c r="H54" s="32">
        <f>E54</f>
        <v>0</v>
      </c>
      <c r="I54" s="56">
        <f>G54*H54*$O$25*$Q$25/1000</f>
        <v>0</v>
      </c>
      <c r="J54" s="58"/>
      <c r="K54" s="29" t="e">
        <f t="shared" ref="K54:K55" si="13">K20</f>
        <v>#DIV/0!</v>
      </c>
      <c r="L54" s="32" t="e">
        <f>J54*K54*$O$34*$Q$34/1000</f>
        <v>#DIV/0!</v>
      </c>
    </row>
    <row r="55" spans="1:18">
      <c r="A55" s="22"/>
      <c r="B55" s="103" t="s">
        <v>30</v>
      </c>
      <c r="C55" s="104" t="s">
        <v>54</v>
      </c>
      <c r="D55" s="28" t="e">
        <f t="shared" si="12"/>
        <v>#DIV/0!</v>
      </c>
      <c r="E55" s="29"/>
      <c r="F55" s="55"/>
      <c r="G55" s="67">
        <v>75.989999999999995</v>
      </c>
      <c r="H55" s="32">
        <f>E55</f>
        <v>0</v>
      </c>
      <c r="I55" s="69">
        <f>G55*H55*$O$26*$Q$26/1000</f>
        <v>0</v>
      </c>
      <c r="J55" s="58"/>
      <c r="K55" s="29" t="e">
        <f t="shared" si="13"/>
        <v>#DIV/0!</v>
      </c>
      <c r="L55" s="47" t="e">
        <f>J55*K55*$O$35*$Q$35/1000</f>
        <v>#DIV/0!</v>
      </c>
    </row>
    <row r="56" spans="1:18" ht="52.5" customHeight="1">
      <c r="A56" s="22"/>
      <c r="B56" s="103" t="s">
        <v>31</v>
      </c>
      <c r="C56" s="104" t="s">
        <v>32</v>
      </c>
      <c r="D56" s="36"/>
      <c r="E56" s="108">
        <f>H56</f>
        <v>0</v>
      </c>
      <c r="F56" s="109">
        <f>SUM(F57:F63)</f>
        <v>0</v>
      </c>
      <c r="G56" s="67"/>
      <c r="H56" s="47">
        <f>SUM(H57:H63)</f>
        <v>0</v>
      </c>
      <c r="I56" s="69">
        <f>SUM(I57:I63)</f>
        <v>0</v>
      </c>
      <c r="J56" s="61"/>
      <c r="K56" s="47" t="e">
        <f>SUM(K57:K63)</f>
        <v>#DIV/0!</v>
      </c>
      <c r="L56" s="47" t="e">
        <f>SUM(L57:L63)</f>
        <v>#DIV/0!</v>
      </c>
    </row>
    <row r="57" spans="1:18">
      <c r="A57" s="22"/>
      <c r="B57" s="103"/>
      <c r="C57" s="104" t="s">
        <v>58</v>
      </c>
      <c r="D57" s="28" t="e">
        <f t="shared" ref="D57:D64" si="14">F57*1000/E57</f>
        <v>#DIV/0!</v>
      </c>
      <c r="E57" s="29">
        <f t="shared" ref="E57:E58" si="15">H57</f>
        <v>0</v>
      </c>
      <c r="F57" s="55"/>
      <c r="G57" s="67">
        <v>648.32000000000005</v>
      </c>
      <c r="H57" s="32">
        <f>'Факт ПС за 3 года'!J44*'Факт ПС за 3 года'!K44+'Факт ПС за 3 года'!J45*'Факт ПС за 3 года'!K45+'Факт ПС за 3 года'!J46*'Факт ПС за 3 года'!K46+'Факт ПС за 3 года'!J47*'Факт ПС за 3 года'!K47</f>
        <v>0</v>
      </c>
      <c r="I57" s="56">
        <f>G57*H57*$O$26*$Q$26/1000</f>
        <v>0</v>
      </c>
      <c r="J57" s="58"/>
      <c r="K57" s="32" t="e">
        <f>'Факт ПС за 3 года'!M44*'Факт ПС за 3 года'!N44+'Факт ПС за 3 года'!M45*'Факт ПС за 3 года'!N45+'Факт ПС за 3 года'!M46*'Факт ПС за 3 года'!N46+'Факт ПС за 3 года'!M47*'Факт ПС за 3 года'!N47</f>
        <v>#DIV/0!</v>
      </c>
      <c r="L57" s="32" t="e">
        <f>J57*K57/1000</f>
        <v>#DIV/0!</v>
      </c>
      <c r="M57" s="37" t="s">
        <v>91</v>
      </c>
      <c r="N57" s="38" t="s">
        <v>83</v>
      </c>
      <c r="O57" s="38" t="s">
        <v>84</v>
      </c>
      <c r="P57" s="39" t="s">
        <v>90</v>
      </c>
      <c r="Q57" s="38" t="s">
        <v>88</v>
      </c>
      <c r="R57" s="38" t="s">
        <v>89</v>
      </c>
    </row>
    <row r="58" spans="1:18">
      <c r="A58" s="22"/>
      <c r="B58" s="103"/>
      <c r="C58" s="104" t="s">
        <v>55</v>
      </c>
      <c r="D58" s="28" t="e">
        <f t="shared" si="14"/>
        <v>#DIV/0!</v>
      </c>
      <c r="E58" s="29">
        <f t="shared" si="15"/>
        <v>0</v>
      </c>
      <c r="F58" s="55"/>
      <c r="G58" s="67">
        <v>445.19</v>
      </c>
      <c r="H58" s="32">
        <f>'Факт ПС за 3 года'!J48*'Факт ПС за 3 года'!K48</f>
        <v>0</v>
      </c>
      <c r="I58" s="56">
        <f t="shared" ref="I58:I63" si="16">G58*H58*$O$26*$Q$26/1000</f>
        <v>0</v>
      </c>
      <c r="J58" s="58"/>
      <c r="K58" s="32" t="e">
        <f>'Факт ПС за 3 года'!M48*'Факт ПС за 3 года'!N48</f>
        <v>#DIV/0!</v>
      </c>
      <c r="L58" s="32" t="e">
        <f t="shared" ref="L58:L63" si="17">J58*K58/1000</f>
        <v>#DIV/0!</v>
      </c>
      <c r="N58" s="38" t="s">
        <v>85</v>
      </c>
      <c r="O58" s="38">
        <f>(4.86+4.86+4.94+5.01)/4</f>
        <v>4.9175000000000004</v>
      </c>
      <c r="P58" s="38">
        <f>(4.86+4.86+5.51+5.59)/4</f>
        <v>5.2050000000000001</v>
      </c>
      <c r="Q58" s="38">
        <v>1.01</v>
      </c>
      <c r="R58" s="38">
        <v>1.02</v>
      </c>
    </row>
    <row r="59" spans="1:18">
      <c r="A59" s="22"/>
      <c r="B59" s="103"/>
      <c r="C59" s="104" t="s">
        <v>56</v>
      </c>
      <c r="D59" s="28" t="e">
        <f t="shared" si="14"/>
        <v>#DIV/0!</v>
      </c>
      <c r="E59" s="29">
        <f>H59</f>
        <v>0</v>
      </c>
      <c r="F59" s="55"/>
      <c r="G59" s="67">
        <v>321.88</v>
      </c>
      <c r="H59" s="32">
        <f>'Факт ПС за 3 года'!J49*'Факт ПС за 3 года'!K49</f>
        <v>0</v>
      </c>
      <c r="I59" s="56">
        <f t="shared" si="16"/>
        <v>0</v>
      </c>
      <c r="J59" s="58"/>
      <c r="K59" s="32" t="e">
        <f>'Факт ПС за 3 года'!M49*'Факт ПС за 3 года'!N49</f>
        <v>#DIV/0!</v>
      </c>
      <c r="L59" s="32" t="e">
        <f t="shared" si="17"/>
        <v>#DIV/0!</v>
      </c>
      <c r="N59" s="38" t="s">
        <v>86</v>
      </c>
      <c r="O59" s="38">
        <f>(7.24+7.24+7.36+7.46)/4</f>
        <v>7.3250000000000002</v>
      </c>
      <c r="P59" s="38">
        <f>(7.24+7.24+9.15+9.28)/4</f>
        <v>8.2275000000000009</v>
      </c>
      <c r="Q59" s="38">
        <v>1.01</v>
      </c>
      <c r="R59" s="38">
        <v>1.02</v>
      </c>
    </row>
    <row r="60" spans="1:18">
      <c r="A60" s="22"/>
      <c r="B60" s="103"/>
      <c r="C60" s="104" t="s">
        <v>57</v>
      </c>
      <c r="D60" s="28" t="e">
        <f t="shared" si="14"/>
        <v>#DIV/0!</v>
      </c>
      <c r="E60" s="29">
        <f>H60</f>
        <v>0</v>
      </c>
      <c r="F60" s="55"/>
      <c r="G60" s="67">
        <v>339.24</v>
      </c>
      <c r="H60" s="32">
        <f>'Факт ПС за 3 года'!J50*'Факт ПС за 3 года'!K50</f>
        <v>0</v>
      </c>
      <c r="I60" s="56">
        <f t="shared" si="16"/>
        <v>0</v>
      </c>
      <c r="J60" s="58"/>
      <c r="K60" s="32" t="e">
        <f>'Факт ПС за 3 года'!M50*'Факт ПС за 3 года'!N50</f>
        <v>#DIV/0!</v>
      </c>
      <c r="L60" s="32" t="e">
        <f t="shared" si="17"/>
        <v>#DIV/0!</v>
      </c>
      <c r="N60" s="38" t="s">
        <v>87</v>
      </c>
      <c r="O60" s="38">
        <f>(8.87+8.87+9.01+9.14)/4</f>
        <v>8.9725000000000001</v>
      </c>
      <c r="P60" s="38">
        <f>(8.87+8.87+10.75+10.9)/4</f>
        <v>9.8475000000000001</v>
      </c>
      <c r="Q60" s="38">
        <v>1.01</v>
      </c>
      <c r="R60" s="38">
        <v>1.02</v>
      </c>
    </row>
    <row r="61" spans="1:18">
      <c r="A61" s="22"/>
      <c r="B61" s="103"/>
      <c r="C61" s="105" t="s">
        <v>59</v>
      </c>
      <c r="D61" s="28" t="e">
        <f t="shared" si="14"/>
        <v>#DIV/0!</v>
      </c>
      <c r="E61" s="29">
        <f t="shared" ref="E61:E63" si="18">H61</f>
        <v>0</v>
      </c>
      <c r="F61" s="55"/>
      <c r="G61" s="67">
        <v>234.05</v>
      </c>
      <c r="H61" s="32">
        <f>'Факт ПС за 3 года'!J51*'Факт ПС за 3 года'!K51+'Факт ПС за 3 года'!J52*'Факт ПС за 3 года'!K52+'Факт ПС за 3 года'!J53*'Факт ПС за 3 года'!K53</f>
        <v>0</v>
      </c>
      <c r="I61" s="56">
        <f t="shared" si="16"/>
        <v>0</v>
      </c>
      <c r="J61" s="58"/>
      <c r="K61" s="32" t="e">
        <f>'Факт ПС за 3 года'!M51*'Факт ПС за 3 года'!N51+'Факт ПС за 3 года'!M52*'Факт ПС за 3 года'!N52+'Факт ПС за 3 года'!M53*'Факт ПС за 3 года'!N53</f>
        <v>#DIV/0!</v>
      </c>
      <c r="L61" s="32" t="e">
        <f t="shared" si="17"/>
        <v>#DIV/0!</v>
      </c>
      <c r="M61" s="37"/>
      <c r="N61" s="41"/>
      <c r="O61" s="41"/>
      <c r="P61" s="41"/>
      <c r="Q61" s="41"/>
      <c r="R61" s="41"/>
    </row>
    <row r="62" spans="1:18">
      <c r="A62" s="22"/>
      <c r="B62" s="103"/>
      <c r="C62" s="105" t="s">
        <v>73</v>
      </c>
      <c r="D62" s="28" t="e">
        <f t="shared" si="14"/>
        <v>#DIV/0!</v>
      </c>
      <c r="E62" s="29">
        <f t="shared" si="18"/>
        <v>0</v>
      </c>
      <c r="F62" s="55"/>
      <c r="G62" s="67">
        <v>2109.42</v>
      </c>
      <c r="H62" s="32">
        <f>'Факт ПС за 3 года'!J54*'Факт ПС за 3 года'!K54</f>
        <v>0</v>
      </c>
      <c r="I62" s="56">
        <f t="shared" si="16"/>
        <v>0</v>
      </c>
      <c r="J62" s="58"/>
      <c r="K62" s="32" t="e">
        <f>'Факт ПС за 3 года'!M54*'Факт ПС за 3 года'!N54</f>
        <v>#DIV/0!</v>
      </c>
      <c r="L62" s="32" t="e">
        <f t="shared" si="17"/>
        <v>#DIV/0!</v>
      </c>
      <c r="M62" s="37"/>
    </row>
    <row r="63" spans="1:18">
      <c r="A63" s="22"/>
      <c r="B63" s="103"/>
      <c r="C63" s="105" t="s">
        <v>74</v>
      </c>
      <c r="D63" s="28" t="e">
        <f t="shared" si="14"/>
        <v>#DIV/0!</v>
      </c>
      <c r="E63" s="29">
        <f t="shared" si="18"/>
        <v>0</v>
      </c>
      <c r="F63" s="55"/>
      <c r="G63" s="67">
        <v>1930.99</v>
      </c>
      <c r="H63" s="32">
        <f>'Факт ПС за 3 года'!J55*'Факт ПС за 3 года'!K55</f>
        <v>0</v>
      </c>
      <c r="I63" s="56">
        <f t="shared" si="16"/>
        <v>0</v>
      </c>
      <c r="J63" s="58"/>
      <c r="K63" s="32" t="e">
        <f>'Факт ПС за 3 года'!M55*'Факт ПС за 3 года'!N55</f>
        <v>#DIV/0!</v>
      </c>
      <c r="L63" s="32" t="e">
        <f t="shared" si="17"/>
        <v>#DIV/0!</v>
      </c>
      <c r="M63" s="37"/>
    </row>
    <row r="64" spans="1:18" ht="24.75" customHeight="1">
      <c r="A64" s="22"/>
      <c r="B64" s="106" t="s">
        <v>33</v>
      </c>
      <c r="C64" s="107" t="s">
        <v>34</v>
      </c>
      <c r="D64" s="28" t="e">
        <f t="shared" si="14"/>
        <v>#DIV/0!</v>
      </c>
      <c r="E64" s="29"/>
      <c r="F64" s="55"/>
      <c r="G64" s="66"/>
      <c r="H64" s="32">
        <f>'Факт ПС за 3 года'!J60*'Факт ПС за 3 года'!K60</f>
        <v>0</v>
      </c>
      <c r="I64" s="56">
        <f>G64*H64*$O$26*$Q$26/1000</f>
        <v>0</v>
      </c>
      <c r="J64" s="58"/>
      <c r="K64" s="29" t="e">
        <f>K30</f>
        <v>#DIV/0!</v>
      </c>
      <c r="L64" s="32" t="e">
        <f>J64*K64/1000</f>
        <v>#DIV/0!</v>
      </c>
      <c r="M64" s="37"/>
    </row>
    <row r="65" spans="1:18" ht="18.75" customHeight="1">
      <c r="A65" s="22"/>
      <c r="B65" s="236" t="s">
        <v>60</v>
      </c>
      <c r="C65" s="237"/>
      <c r="D65" s="34"/>
      <c r="E65" s="34"/>
      <c r="F65" s="57"/>
      <c r="G65" s="68"/>
      <c r="H65" s="34"/>
      <c r="I65" s="57"/>
      <c r="J65" s="34"/>
      <c r="K65" s="34"/>
      <c r="L65" s="35"/>
    </row>
    <row r="66" spans="1:18">
      <c r="A66" s="22"/>
      <c r="B66" s="95" t="s">
        <v>61</v>
      </c>
      <c r="C66" s="31" t="s">
        <v>27</v>
      </c>
      <c r="D66" s="36"/>
      <c r="E66" s="44">
        <f>SUM(E67:E68)</f>
        <v>0</v>
      </c>
      <c r="F66" s="54">
        <f>SUM(F67:F68)</f>
        <v>0</v>
      </c>
      <c r="G66" s="67"/>
      <c r="H66" s="47">
        <f>H67+H68</f>
        <v>0</v>
      </c>
      <c r="I66" s="69">
        <f>SUM(I67:I68)</f>
        <v>0</v>
      </c>
      <c r="J66" s="59"/>
      <c r="K66" s="44" t="e">
        <f>SUM(K67:K68)</f>
        <v>#DIV/0!</v>
      </c>
      <c r="L66" s="47" t="e">
        <f>SUM(L67:L68)</f>
        <v>#DIV/0!</v>
      </c>
      <c r="M66" s="37" t="s">
        <v>92</v>
      </c>
      <c r="N66" s="38" t="s">
        <v>83</v>
      </c>
      <c r="O66" s="38" t="s">
        <v>84</v>
      </c>
      <c r="P66" s="39" t="s">
        <v>90</v>
      </c>
      <c r="Q66" s="38" t="s">
        <v>88</v>
      </c>
      <c r="R66" s="38" t="s">
        <v>89</v>
      </c>
    </row>
    <row r="67" spans="1:18">
      <c r="A67" s="22"/>
      <c r="B67" s="95"/>
      <c r="C67" s="31" t="s">
        <v>48</v>
      </c>
      <c r="D67" s="28" t="e">
        <f>F67*1000/E67</f>
        <v>#DIV/0!</v>
      </c>
      <c r="E67" s="29"/>
      <c r="F67" s="55"/>
      <c r="G67" s="67">
        <v>183673.47</v>
      </c>
      <c r="H67" s="32">
        <f>E67</f>
        <v>0</v>
      </c>
      <c r="I67" s="56">
        <f>G67*H67*$P$24*$R$24/1000</f>
        <v>0</v>
      </c>
      <c r="J67" s="58"/>
      <c r="K67" s="29" t="e">
        <f>K33</f>
        <v>#DIV/0!</v>
      </c>
      <c r="L67" s="32" t="e">
        <f>J67*K67*$O$33*$Q$33/1000</f>
        <v>#DIV/0!</v>
      </c>
      <c r="N67" s="38" t="s">
        <v>85</v>
      </c>
      <c r="O67" s="74">
        <v>4.8</v>
      </c>
      <c r="P67" s="74"/>
      <c r="Q67" s="75">
        <v>1.01</v>
      </c>
      <c r="R67" s="75">
        <v>1.02</v>
      </c>
    </row>
    <row r="68" spans="1:18">
      <c r="A68" s="22"/>
      <c r="B68" s="95"/>
      <c r="C68" s="31" t="s">
        <v>49</v>
      </c>
      <c r="D68" s="28" t="e">
        <f t="shared" ref="D68" si="19">F68*1000/E68</f>
        <v>#DIV/0!</v>
      </c>
      <c r="E68" s="29"/>
      <c r="F68" s="55"/>
      <c r="G68" s="67">
        <v>236734.69</v>
      </c>
      <c r="H68" s="32">
        <f>E68</f>
        <v>0</v>
      </c>
      <c r="I68" s="56">
        <f>G68*H68*$P$24*$R$24/1000</f>
        <v>0</v>
      </c>
      <c r="J68" s="58"/>
      <c r="K68" s="29" t="e">
        <f>K34</f>
        <v>#DIV/0!</v>
      </c>
      <c r="L68" s="32" t="e">
        <f>J68*K68*$O$33*$Q$33/1000</f>
        <v>#DIV/0!</v>
      </c>
      <c r="N68" s="38" t="s">
        <v>86</v>
      </c>
      <c r="O68" s="74">
        <v>7.06</v>
      </c>
      <c r="P68" s="74"/>
      <c r="Q68" s="75">
        <v>1.01</v>
      </c>
      <c r="R68" s="75">
        <v>1.02</v>
      </c>
    </row>
    <row r="69" spans="1:18">
      <c r="A69" s="22"/>
      <c r="B69" s="95" t="s">
        <v>62</v>
      </c>
      <c r="C69" s="31" t="s">
        <v>29</v>
      </c>
      <c r="D69" s="50"/>
      <c r="E69" s="44">
        <f>SUM(E70:E71)</f>
        <v>0</v>
      </c>
      <c r="F69" s="54">
        <f>SUM(F70:F71)</f>
        <v>0</v>
      </c>
      <c r="G69" s="67"/>
      <c r="H69" s="47">
        <f>H70+H71</f>
        <v>0</v>
      </c>
      <c r="I69" s="69">
        <f>SUM(I70:I71)</f>
        <v>0</v>
      </c>
      <c r="J69" s="59"/>
      <c r="K69" s="44" t="e">
        <f>SUM(K70:K71)</f>
        <v>#DIV/0!</v>
      </c>
      <c r="L69" s="47" t="e">
        <f>SUM(L70:L71)</f>
        <v>#DIV/0!</v>
      </c>
      <c r="N69" s="38" t="s">
        <v>87</v>
      </c>
      <c r="O69" s="74">
        <v>8.65</v>
      </c>
      <c r="P69" s="74"/>
      <c r="Q69" s="75">
        <v>1.01</v>
      </c>
      <c r="R69" s="75">
        <v>1.02</v>
      </c>
    </row>
    <row r="70" spans="1:18">
      <c r="A70" s="22"/>
      <c r="B70" s="95"/>
      <c r="C70" s="31" t="s">
        <v>50</v>
      </c>
      <c r="D70" s="28" t="e">
        <f t="shared" ref="D70:D72" si="20">F70*1000/E70</f>
        <v>#DIV/0!</v>
      </c>
      <c r="E70" s="29"/>
      <c r="F70" s="55"/>
      <c r="G70" s="67">
        <v>151518.44</v>
      </c>
      <c r="H70" s="32">
        <f>E70</f>
        <v>0</v>
      </c>
      <c r="I70" s="56">
        <f>G70*H70*$P$24*$R$24/1000</f>
        <v>0</v>
      </c>
      <c r="J70" s="58"/>
      <c r="K70" s="29" t="e">
        <f>K36</f>
        <v>#DIV/0!</v>
      </c>
      <c r="L70" s="32" t="e">
        <f>J70*K70*$O$34*$Q$34/1000</f>
        <v>#DIV/0!</v>
      </c>
    </row>
    <row r="71" spans="1:18">
      <c r="A71" s="22"/>
      <c r="B71" s="95"/>
      <c r="C71" s="31" t="s">
        <v>51</v>
      </c>
      <c r="D71" s="28" t="e">
        <f t="shared" si="20"/>
        <v>#DIV/0!</v>
      </c>
      <c r="E71" s="29"/>
      <c r="F71" s="55"/>
      <c r="G71" s="67">
        <v>289600.38</v>
      </c>
      <c r="H71" s="32">
        <f>E71</f>
        <v>0</v>
      </c>
      <c r="I71" s="56">
        <f>G71*H71*$P$24*$R$24/1000</f>
        <v>0</v>
      </c>
      <c r="J71" s="58"/>
      <c r="K71" s="29" t="e">
        <f t="shared" ref="K71:K72" si="21">K37</f>
        <v>#DIV/0!</v>
      </c>
      <c r="L71" s="32" t="e">
        <f>J71*K71*$O$34*$Q$34/1000</f>
        <v>#DIV/0!</v>
      </c>
    </row>
    <row r="72" spans="1:18">
      <c r="A72" s="22"/>
      <c r="B72" s="95" t="s">
        <v>63</v>
      </c>
      <c r="C72" s="31" t="s">
        <v>54</v>
      </c>
      <c r="D72" s="28" t="e">
        <f t="shared" si="20"/>
        <v>#DIV/0!</v>
      </c>
      <c r="E72" s="29"/>
      <c r="F72" s="55"/>
      <c r="G72" s="67">
        <v>75.989999999999995</v>
      </c>
      <c r="H72" s="32">
        <f>E72</f>
        <v>0</v>
      </c>
      <c r="I72" s="69">
        <f>G72*H72*$O$26*$Q$26/1000</f>
        <v>0</v>
      </c>
      <c r="J72" s="58"/>
      <c r="K72" s="29" t="e">
        <f t="shared" si="21"/>
        <v>#DIV/0!</v>
      </c>
      <c r="L72" s="47" t="e">
        <f>J72*K72*$O$35*$Q$35/1000</f>
        <v>#DIV/0!</v>
      </c>
    </row>
    <row r="73" spans="1:18" ht="48">
      <c r="A73" s="22"/>
      <c r="B73" s="95" t="s">
        <v>64</v>
      </c>
      <c r="C73" s="31" t="s">
        <v>32</v>
      </c>
      <c r="D73" s="36"/>
      <c r="E73" s="108">
        <f>H73</f>
        <v>0</v>
      </c>
      <c r="F73" s="109">
        <f>SUM(F74:F80)</f>
        <v>0</v>
      </c>
      <c r="G73" s="67"/>
      <c r="H73" s="47">
        <f>SUM(H74:H80)</f>
        <v>0</v>
      </c>
      <c r="I73" s="69">
        <f>SUM(I74:I80)</f>
        <v>0</v>
      </c>
      <c r="J73" s="61"/>
      <c r="K73" s="47" t="e">
        <f>SUM(K74:K80)</f>
        <v>#DIV/0!</v>
      </c>
      <c r="L73" s="47" t="e">
        <f>SUM(L74:L80)</f>
        <v>#DIV/0!</v>
      </c>
    </row>
    <row r="74" spans="1:18">
      <c r="A74" s="22"/>
      <c r="B74" s="95"/>
      <c r="C74" s="40" t="s">
        <v>58</v>
      </c>
      <c r="D74" s="28" t="e">
        <f t="shared" ref="D74:D81" si="22">F74*1000/E74</f>
        <v>#DIV/0!</v>
      </c>
      <c r="E74" s="29">
        <f t="shared" ref="E74:E75" si="23">H74</f>
        <v>0</v>
      </c>
      <c r="F74" s="55"/>
      <c r="G74" s="67">
        <v>648.32000000000005</v>
      </c>
      <c r="H74" s="32">
        <f>'Факт ПС за 3 года'!J61*'Факт ПС за 3 года'!K61+'Факт ПС за 3 года'!J62*'Факт ПС за 3 года'!K62+'Факт ПС за 3 года'!J63*'Факт ПС за 3 года'!K63+'Факт ПС за 3 года'!J64*'Факт ПС за 3 года'!K64</f>
        <v>0</v>
      </c>
      <c r="I74" s="56">
        <f>G74*H74*$P$26*$R$26/1000</f>
        <v>0</v>
      </c>
      <c r="J74" s="58"/>
      <c r="K74" s="32" t="e">
        <f>'Факт ПС за 3 года'!M61*'Факт ПС за 3 года'!N61+'Факт ПС за 3 года'!M62*'Факт ПС за 3 года'!N62+'Факт ПС за 3 года'!M63*'Факт ПС за 3 года'!N63+'Факт ПС за 3 года'!M64*'Факт ПС за 3 года'!N64</f>
        <v>#DIV/0!</v>
      </c>
      <c r="L74" s="32" t="e">
        <f>J74*K74/1000</f>
        <v>#DIV/0!</v>
      </c>
    </row>
    <row r="75" spans="1:18">
      <c r="A75" s="22"/>
      <c r="B75" s="95"/>
      <c r="C75" s="40" t="s">
        <v>55</v>
      </c>
      <c r="D75" s="28" t="e">
        <f t="shared" si="22"/>
        <v>#DIV/0!</v>
      </c>
      <c r="E75" s="29">
        <f t="shared" si="23"/>
        <v>0</v>
      </c>
      <c r="F75" s="55"/>
      <c r="G75" s="67">
        <v>445.19</v>
      </c>
      <c r="H75" s="32">
        <f>'Факт ПС за 3 года'!J65*'Факт ПС за 3 года'!K65</f>
        <v>0</v>
      </c>
      <c r="I75" s="56">
        <f t="shared" ref="I75:I80" si="24">G75*H75*$P$26*$R$26/1000</f>
        <v>0</v>
      </c>
      <c r="J75" s="58"/>
      <c r="K75" s="32" t="e">
        <f>'Факт ПС за 3 года'!M65*'Факт ПС за 3 года'!N65</f>
        <v>#DIV/0!</v>
      </c>
      <c r="L75" s="32" t="e">
        <f t="shared" ref="L75:L80" si="25">J75*K75/1000</f>
        <v>#DIV/0!</v>
      </c>
    </row>
    <row r="76" spans="1:18">
      <c r="A76" s="22"/>
      <c r="B76" s="95"/>
      <c r="C76" s="40" t="s">
        <v>56</v>
      </c>
      <c r="D76" s="28" t="e">
        <f t="shared" si="22"/>
        <v>#DIV/0!</v>
      </c>
      <c r="E76" s="29">
        <f>H76</f>
        <v>0</v>
      </c>
      <c r="F76" s="55"/>
      <c r="G76" s="67">
        <v>321.88</v>
      </c>
      <c r="H76" s="32">
        <f>'Факт ПС за 3 года'!J66*'Факт ПС за 3 года'!K66</f>
        <v>0</v>
      </c>
      <c r="I76" s="56">
        <f t="shared" si="24"/>
        <v>0</v>
      </c>
      <c r="J76" s="58"/>
      <c r="K76" s="32" t="e">
        <f>'Факт ПС за 3 года'!M66*'Факт ПС за 3 года'!N66</f>
        <v>#DIV/0!</v>
      </c>
      <c r="L76" s="32" t="e">
        <f t="shared" si="25"/>
        <v>#DIV/0!</v>
      </c>
    </row>
    <row r="77" spans="1:18">
      <c r="A77" s="22"/>
      <c r="B77" s="95"/>
      <c r="C77" s="40" t="s">
        <v>57</v>
      </c>
      <c r="D77" s="28" t="e">
        <f t="shared" si="22"/>
        <v>#DIV/0!</v>
      </c>
      <c r="E77" s="29">
        <f>H77</f>
        <v>0</v>
      </c>
      <c r="F77" s="55"/>
      <c r="G77" s="67">
        <v>339.24</v>
      </c>
      <c r="H77" s="32">
        <f>'Факт ПС за 3 года'!J67*'Факт ПС за 3 года'!K67</f>
        <v>0</v>
      </c>
      <c r="I77" s="56">
        <f t="shared" si="24"/>
        <v>0</v>
      </c>
      <c r="J77" s="58"/>
      <c r="K77" s="32" t="e">
        <f>'Факт ПС за 3 года'!M67*'Факт ПС за 3 года'!N67</f>
        <v>#DIV/0!</v>
      </c>
      <c r="L77" s="32" t="e">
        <f t="shared" si="25"/>
        <v>#DIV/0!</v>
      </c>
    </row>
    <row r="78" spans="1:18">
      <c r="A78" s="22"/>
      <c r="B78" s="95"/>
      <c r="C78" s="40" t="s">
        <v>59</v>
      </c>
      <c r="D78" s="28" t="e">
        <f t="shared" si="22"/>
        <v>#DIV/0!</v>
      </c>
      <c r="E78" s="29">
        <f t="shared" ref="E78:E80" si="26">H78</f>
        <v>0</v>
      </c>
      <c r="F78" s="55"/>
      <c r="G78" s="67">
        <v>234.05</v>
      </c>
      <c r="H78" s="32">
        <f>'Факт ПС за 3 года'!J68*'Факт ПС за 3 года'!K68+'Факт ПС за 3 года'!J69*'Факт ПС за 3 года'!K69+'Факт ПС за 3 года'!J70*'Факт ПС за 3 года'!K70</f>
        <v>0</v>
      </c>
      <c r="I78" s="56">
        <f t="shared" si="24"/>
        <v>0</v>
      </c>
      <c r="J78" s="58"/>
      <c r="K78" s="32" t="e">
        <f>'Факт ПС за 3 года'!M68*'Факт ПС за 3 года'!N68+'Факт ПС за 3 года'!M69*'Факт ПС за 3 года'!N69+'Факт ПС за 3 года'!M70*'Факт ПС за 3 года'!N70</f>
        <v>#DIV/0!</v>
      </c>
      <c r="L78" s="32" t="e">
        <f t="shared" si="25"/>
        <v>#DIV/0!</v>
      </c>
      <c r="P78" s="100"/>
    </row>
    <row r="79" spans="1:18">
      <c r="A79" s="22"/>
      <c r="B79" s="95"/>
      <c r="C79" s="40" t="s">
        <v>73</v>
      </c>
      <c r="D79" s="28" t="e">
        <f t="shared" si="22"/>
        <v>#DIV/0!</v>
      </c>
      <c r="E79" s="29">
        <f t="shared" si="26"/>
        <v>0</v>
      </c>
      <c r="F79" s="55"/>
      <c r="G79" s="67">
        <v>2109.42</v>
      </c>
      <c r="H79" s="32">
        <f>'Факт ПС за 3 года'!J71*'Факт ПС за 3 года'!K71</f>
        <v>0</v>
      </c>
      <c r="I79" s="56">
        <f t="shared" si="24"/>
        <v>0</v>
      </c>
      <c r="J79" s="58"/>
      <c r="K79" s="32" t="e">
        <f>'Факт ПС за 3 года'!M71*'Факт ПС за 3 года'!N71</f>
        <v>#DIV/0!</v>
      </c>
      <c r="L79" s="32" t="e">
        <f t="shared" si="25"/>
        <v>#DIV/0!</v>
      </c>
    </row>
    <row r="80" spans="1:18">
      <c r="A80" s="22"/>
      <c r="B80" s="95"/>
      <c r="C80" s="40" t="s">
        <v>74</v>
      </c>
      <c r="D80" s="28" t="e">
        <f t="shared" si="22"/>
        <v>#DIV/0!</v>
      </c>
      <c r="E80" s="29">
        <f t="shared" si="26"/>
        <v>0</v>
      </c>
      <c r="F80" s="55"/>
      <c r="G80" s="67">
        <v>1930.99</v>
      </c>
      <c r="H80" s="32">
        <f>'Факт ПС за 3 года'!J72*'Факт ПС за 3 года'!K72</f>
        <v>0</v>
      </c>
      <c r="I80" s="56">
        <f t="shared" si="24"/>
        <v>0</v>
      </c>
      <c r="J80" s="58"/>
      <c r="K80" s="32" t="e">
        <f>'Факт ПС за 3 года'!M72*'Факт ПС за 3 года'!N72</f>
        <v>#DIV/0!</v>
      </c>
      <c r="L80" s="32" t="e">
        <f t="shared" si="25"/>
        <v>#DIV/0!</v>
      </c>
    </row>
    <row r="81" spans="1:12" ht="24">
      <c r="A81" s="22"/>
      <c r="B81" s="95" t="s">
        <v>65</v>
      </c>
      <c r="C81" s="40" t="s">
        <v>34</v>
      </c>
      <c r="D81" s="28" t="e">
        <f t="shared" si="22"/>
        <v>#DIV/0!</v>
      </c>
      <c r="E81" s="29"/>
      <c r="F81" s="55"/>
      <c r="G81" s="66"/>
      <c r="H81" s="32">
        <f>'Факт ПС за 3 года'!J77*'Факт ПС за 3 года'!K77</f>
        <v>0</v>
      </c>
      <c r="I81" s="56">
        <f>G81*H81*$P$26*$R$26/1000</f>
        <v>0</v>
      </c>
      <c r="J81" s="58"/>
      <c r="K81" s="29" t="e">
        <f>K47</f>
        <v>#DIV/0!</v>
      </c>
      <c r="L81" s="32" t="e">
        <f>J81*K81/1000</f>
        <v>#DIV/0!</v>
      </c>
    </row>
    <row r="82" spans="1:12" ht="48.75" customHeight="1">
      <c r="A82" s="22"/>
      <c r="B82" s="26" t="s">
        <v>18</v>
      </c>
      <c r="C82" s="45" t="s">
        <v>40</v>
      </c>
      <c r="D82" s="36"/>
      <c r="E82" s="36"/>
      <c r="F82" s="72">
        <f>F13-F48</f>
        <v>0</v>
      </c>
      <c r="G82" s="70"/>
      <c r="H82" s="36"/>
      <c r="I82" s="72">
        <f>I13-I48</f>
        <v>0</v>
      </c>
      <c r="J82" s="59"/>
      <c r="K82" s="36"/>
      <c r="L82" s="72" t="e">
        <f>L13-L48</f>
        <v>#DIV/0!</v>
      </c>
    </row>
    <row r="85" spans="1:12">
      <c r="B85" s="17" t="s">
        <v>5</v>
      </c>
      <c r="C85" s="17" t="s">
        <v>218</v>
      </c>
    </row>
    <row r="86" spans="1:12">
      <c r="C86" s="17" t="s">
        <v>219</v>
      </c>
    </row>
  </sheetData>
  <mergeCells count="8">
    <mergeCell ref="J9:L9"/>
    <mergeCell ref="B14:C14"/>
    <mergeCell ref="B65:C65"/>
    <mergeCell ref="B31:C31"/>
    <mergeCell ref="B9:B11"/>
    <mergeCell ref="C9:C11"/>
    <mergeCell ref="D9:F9"/>
    <mergeCell ref="G9:I9"/>
  </mergeCells>
  <pageMargins left="0.78740157480314965" right="0.39370078740157483" top="0.39370078740157483" bottom="0.39370078740157483" header="0.31496062992125984" footer="0.31496062992125984"/>
  <pageSetup paperSize="9" scale="52" fitToHeight="0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2:U47"/>
  <sheetViews>
    <sheetView view="pageBreakPreview" topLeftCell="A2" zoomScale="80" zoomScaleNormal="85" zoomScaleSheetLayoutView="80" workbookViewId="0">
      <selection activeCell="L48" sqref="L48"/>
    </sheetView>
  </sheetViews>
  <sheetFormatPr defaultRowHeight="12"/>
  <cols>
    <col min="1" max="1" width="6.42578125" style="76" customWidth="1"/>
    <col min="2" max="2" width="6.85546875" style="76" customWidth="1"/>
    <col min="3" max="3" width="41.5703125" style="77" customWidth="1"/>
    <col min="4" max="7" width="13.7109375" style="77" customWidth="1"/>
    <col min="8" max="9" width="13.7109375" style="76" customWidth="1"/>
    <col min="10" max="11" width="13.85546875" style="76" customWidth="1"/>
    <col min="12" max="12" width="8.5703125" style="76" customWidth="1"/>
    <col min="13" max="13" width="41.85546875" style="76" customWidth="1"/>
    <col min="14" max="21" width="14.140625" style="76" customWidth="1"/>
    <col min="22" max="16384" width="9.140625" style="76"/>
  </cols>
  <sheetData>
    <row r="2" spans="2:21">
      <c r="C2" s="78"/>
      <c r="D2" s="78"/>
      <c r="E2" s="78"/>
      <c r="J2" s="245"/>
      <c r="K2" s="246"/>
    </row>
    <row r="3" spans="2:21">
      <c r="J3" s="79"/>
      <c r="K3" s="80"/>
    </row>
    <row r="4" spans="2:21">
      <c r="C4" s="247" t="s">
        <v>98</v>
      </c>
      <c r="D4" s="247"/>
      <c r="E4" s="247"/>
      <c r="F4" s="247"/>
      <c r="G4" s="247"/>
      <c r="H4" s="247"/>
      <c r="I4" s="247"/>
      <c r="J4" s="247"/>
      <c r="K4" s="247"/>
    </row>
    <row r="6" spans="2:21" ht="15" customHeight="1">
      <c r="B6" s="241" t="s">
        <v>110</v>
      </c>
      <c r="C6" s="241" t="s">
        <v>102</v>
      </c>
      <c r="D6" s="243" t="s">
        <v>106</v>
      </c>
      <c r="E6" s="244"/>
      <c r="F6" s="238" t="s">
        <v>99</v>
      </c>
      <c r="G6" s="238"/>
      <c r="H6" s="238" t="s">
        <v>100</v>
      </c>
      <c r="I6" s="238"/>
      <c r="J6" s="238" t="s">
        <v>101</v>
      </c>
      <c r="K6" s="250"/>
      <c r="L6" s="248" t="s">
        <v>110</v>
      </c>
      <c r="M6" s="241" t="s">
        <v>102</v>
      </c>
      <c r="N6" s="243" t="s">
        <v>106</v>
      </c>
      <c r="O6" s="244"/>
      <c r="P6" s="238" t="s">
        <v>99</v>
      </c>
      <c r="Q6" s="238"/>
      <c r="R6" s="238" t="s">
        <v>100</v>
      </c>
      <c r="S6" s="238"/>
      <c r="T6" s="238" t="s">
        <v>101</v>
      </c>
      <c r="U6" s="238"/>
    </row>
    <row r="7" spans="2:21" ht="44.25" customHeight="1">
      <c r="B7" s="242"/>
      <c r="C7" s="242"/>
      <c r="D7" s="85" t="s">
        <v>109</v>
      </c>
      <c r="E7" s="85" t="s">
        <v>104</v>
      </c>
      <c r="F7" s="85" t="s">
        <v>109</v>
      </c>
      <c r="G7" s="140" t="s">
        <v>104</v>
      </c>
      <c r="H7" s="85" t="s">
        <v>109</v>
      </c>
      <c r="I7" s="140" t="s">
        <v>104</v>
      </c>
      <c r="J7" s="85" t="s">
        <v>109</v>
      </c>
      <c r="K7" s="181" t="s">
        <v>104</v>
      </c>
      <c r="L7" s="249"/>
      <c r="M7" s="242"/>
      <c r="N7" s="85" t="s">
        <v>109</v>
      </c>
      <c r="O7" s="85" t="s">
        <v>104</v>
      </c>
      <c r="P7" s="85" t="s">
        <v>109</v>
      </c>
      <c r="Q7" s="82" t="s">
        <v>104</v>
      </c>
      <c r="R7" s="85" t="s">
        <v>109</v>
      </c>
      <c r="S7" s="82" t="s">
        <v>104</v>
      </c>
      <c r="T7" s="85" t="s">
        <v>109</v>
      </c>
      <c r="U7" s="82" t="s">
        <v>104</v>
      </c>
    </row>
    <row r="8" spans="2:21" ht="15" customHeight="1">
      <c r="B8" s="251" t="s">
        <v>105</v>
      </c>
      <c r="C8" s="239"/>
      <c r="D8" s="239"/>
      <c r="E8" s="239"/>
      <c r="F8" s="239"/>
      <c r="G8" s="239"/>
      <c r="H8" s="239"/>
      <c r="I8" s="239"/>
      <c r="J8" s="239"/>
      <c r="K8" s="252"/>
      <c r="L8" s="239" t="s">
        <v>111</v>
      </c>
      <c r="M8" s="239"/>
      <c r="N8" s="239"/>
      <c r="O8" s="239"/>
      <c r="P8" s="239"/>
      <c r="Q8" s="239"/>
      <c r="R8" s="239"/>
      <c r="S8" s="239"/>
      <c r="T8" s="239"/>
      <c r="U8" s="239"/>
    </row>
    <row r="9" spans="2:21" ht="15" customHeight="1">
      <c r="B9" s="141"/>
      <c r="D9" s="91"/>
      <c r="E9" s="91"/>
      <c r="F9" s="92"/>
      <c r="G9" s="92"/>
      <c r="H9" s="92"/>
      <c r="I9" s="92"/>
      <c r="J9" s="92"/>
      <c r="K9" s="182"/>
      <c r="L9" s="81"/>
      <c r="M9" s="77"/>
      <c r="N9" s="91"/>
      <c r="O9" s="91"/>
      <c r="P9" s="92"/>
      <c r="Q9" s="92"/>
      <c r="R9" s="92"/>
      <c r="S9" s="92"/>
      <c r="T9" s="92"/>
      <c r="U9" s="92"/>
    </row>
    <row r="10" spans="2:21" ht="15" customHeight="1">
      <c r="B10" s="93"/>
      <c r="C10" s="96" t="s">
        <v>108</v>
      </c>
      <c r="D10" s="98">
        <f>AVERAGE(F10,H10,J10)</f>
        <v>1</v>
      </c>
      <c r="E10" s="98">
        <f>ROUND(AVERAGE(G10,I10,K10),0)</f>
        <v>5</v>
      </c>
      <c r="F10" s="83">
        <v>0</v>
      </c>
      <c r="G10" s="83">
        <v>0</v>
      </c>
      <c r="H10" s="83">
        <v>0</v>
      </c>
      <c r="I10" s="83">
        <v>0</v>
      </c>
      <c r="J10" s="83">
        <v>3</v>
      </c>
      <c r="K10" s="183">
        <f>5+5+5</f>
        <v>15</v>
      </c>
      <c r="L10" s="87"/>
      <c r="M10" s="96" t="s">
        <v>108</v>
      </c>
      <c r="N10" s="98">
        <f>AVERAGE(P10,R10,T10)</f>
        <v>0</v>
      </c>
      <c r="O10" s="98">
        <f>ROUND(AVERAGE(Q10,S10,U10),0)</f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183">
        <v>0</v>
      </c>
    </row>
    <row r="11" spans="2:21" ht="15" customHeight="1">
      <c r="B11" s="93" t="s">
        <v>3</v>
      </c>
      <c r="C11" s="97" t="s">
        <v>107</v>
      </c>
      <c r="D11" s="98">
        <f>ROUND(AVERAGE(F11,H11,J11),0)</f>
        <v>1</v>
      </c>
      <c r="E11" s="98">
        <f>ROUND(AVERAGE(G11,I11,K11),0)</f>
        <v>5</v>
      </c>
      <c r="F11" s="99">
        <f>F10</f>
        <v>0</v>
      </c>
      <c r="G11" s="99">
        <f t="shared" ref="G11:K11" si="0">G10</f>
        <v>0</v>
      </c>
      <c r="H11" s="99">
        <f t="shared" si="0"/>
        <v>0</v>
      </c>
      <c r="I11" s="99">
        <f t="shared" si="0"/>
        <v>0</v>
      </c>
      <c r="J11" s="99">
        <f t="shared" si="0"/>
        <v>3</v>
      </c>
      <c r="K11" s="184">
        <f t="shared" si="0"/>
        <v>15</v>
      </c>
      <c r="L11" s="87" t="s">
        <v>3</v>
      </c>
      <c r="M11" s="97" t="s">
        <v>107</v>
      </c>
      <c r="N11" s="98">
        <f>ROUND(AVERAGE(P11,R11,T11),0)</f>
        <v>0</v>
      </c>
      <c r="O11" s="98">
        <f>ROUND(AVERAGE(Q11,S11,U11),0)</f>
        <v>0</v>
      </c>
      <c r="P11" s="99">
        <f t="shared" ref="P11:U11" si="1">P10</f>
        <v>0</v>
      </c>
      <c r="Q11" s="99">
        <f t="shared" si="1"/>
        <v>0</v>
      </c>
      <c r="R11" s="99">
        <f t="shared" si="1"/>
        <v>0</v>
      </c>
      <c r="S11" s="99">
        <f t="shared" si="1"/>
        <v>0</v>
      </c>
      <c r="T11" s="99">
        <f t="shared" si="1"/>
        <v>0</v>
      </c>
      <c r="U11" s="184">
        <f t="shared" si="1"/>
        <v>0</v>
      </c>
    </row>
    <row r="12" spans="2:21" ht="12" customHeight="1">
      <c r="B12" s="93" t="s">
        <v>4</v>
      </c>
      <c r="C12" s="94" t="s">
        <v>103</v>
      </c>
      <c r="D12" s="193"/>
      <c r="E12" s="193"/>
      <c r="F12" s="191"/>
      <c r="G12" s="191"/>
      <c r="H12" s="191"/>
      <c r="I12" s="191"/>
      <c r="J12" s="191"/>
      <c r="K12" s="192"/>
      <c r="L12" s="87" t="s">
        <v>4</v>
      </c>
      <c r="M12" s="94" t="s">
        <v>103</v>
      </c>
      <c r="N12" s="193"/>
      <c r="O12" s="193"/>
      <c r="P12" s="191"/>
      <c r="Q12" s="191"/>
      <c r="R12" s="191"/>
      <c r="S12" s="191"/>
      <c r="T12" s="191"/>
      <c r="U12" s="192"/>
    </row>
    <row r="13" spans="2:21" ht="12" customHeight="1">
      <c r="B13" s="219" t="s">
        <v>53</v>
      </c>
      <c r="C13" s="240"/>
      <c r="D13" s="194"/>
      <c r="E13" s="194"/>
      <c r="F13" s="88"/>
      <c r="G13" s="89"/>
      <c r="H13" s="88"/>
      <c r="I13" s="89"/>
      <c r="J13" s="88"/>
      <c r="K13" s="185"/>
      <c r="L13" s="220" t="s">
        <v>53</v>
      </c>
      <c r="M13" s="240"/>
      <c r="N13" s="194"/>
      <c r="O13" s="194"/>
      <c r="P13" s="88"/>
      <c r="Q13" s="89"/>
      <c r="R13" s="88"/>
      <c r="S13" s="89"/>
      <c r="T13" s="88"/>
      <c r="U13" s="185"/>
    </row>
    <row r="14" spans="2:21" ht="15" customHeight="1">
      <c r="B14" s="139" t="s">
        <v>26</v>
      </c>
      <c r="C14" s="31" t="s">
        <v>27</v>
      </c>
      <c r="D14" s="98">
        <f>ROUND(AVERAGE(F14,H14,J14),3)</f>
        <v>0</v>
      </c>
      <c r="E14" s="98">
        <f>ROUND(AVERAGE(G14,I14,K14),3)</f>
        <v>0</v>
      </c>
      <c r="F14" s="99">
        <f t="shared" ref="F14:K14" si="2">SUM(F15:F16)</f>
        <v>0</v>
      </c>
      <c r="G14" s="99">
        <f t="shared" si="2"/>
        <v>0</v>
      </c>
      <c r="H14" s="99">
        <f t="shared" si="2"/>
        <v>0</v>
      </c>
      <c r="I14" s="99">
        <f t="shared" si="2"/>
        <v>0</v>
      </c>
      <c r="J14" s="99">
        <f t="shared" si="2"/>
        <v>0</v>
      </c>
      <c r="K14" s="184">
        <f t="shared" si="2"/>
        <v>0</v>
      </c>
      <c r="L14" s="138" t="s">
        <v>26</v>
      </c>
      <c r="M14" s="31" t="s">
        <v>27</v>
      </c>
      <c r="N14" s="98">
        <f>ROUND(AVERAGE(P14,R14,T14),3)</f>
        <v>0</v>
      </c>
      <c r="O14" s="98">
        <f>ROUND(AVERAGE(Q14,S14,U14),3)</f>
        <v>0</v>
      </c>
      <c r="P14" s="99">
        <f t="shared" ref="P14:U14" si="3">SUM(P15:P16)</f>
        <v>0</v>
      </c>
      <c r="Q14" s="99">
        <f t="shared" si="3"/>
        <v>0</v>
      </c>
      <c r="R14" s="99">
        <f t="shared" si="3"/>
        <v>0</v>
      </c>
      <c r="S14" s="99">
        <f t="shared" si="3"/>
        <v>0</v>
      </c>
      <c r="T14" s="99">
        <f t="shared" si="3"/>
        <v>0</v>
      </c>
      <c r="U14" s="184">
        <f t="shared" si="3"/>
        <v>0</v>
      </c>
    </row>
    <row r="15" spans="2:21" ht="15" customHeight="1">
      <c r="B15" s="139"/>
      <c r="C15" s="31" t="s">
        <v>48</v>
      </c>
      <c r="D15" s="98" t="e">
        <f>ROUND(AVERAGE(F15,H15,J15),3)</f>
        <v>#DIV/0!</v>
      </c>
      <c r="E15" s="98" t="e">
        <f>ROUND(AVERAGE(G15,I15,K15),3)</f>
        <v>#DIV/0!</v>
      </c>
      <c r="F15" s="83"/>
      <c r="G15" s="84"/>
      <c r="H15" s="83"/>
      <c r="I15" s="84"/>
      <c r="J15" s="83"/>
      <c r="K15" s="186"/>
      <c r="L15" s="138"/>
      <c r="M15" s="31" t="s">
        <v>48</v>
      </c>
      <c r="N15" s="98" t="e">
        <f>ROUND(AVERAGE(P15,R15,T15),3)</f>
        <v>#DIV/0!</v>
      </c>
      <c r="O15" s="98" t="e">
        <f>ROUND(AVERAGE(Q15,S15,U15),3)</f>
        <v>#DIV/0!</v>
      </c>
      <c r="P15" s="83"/>
      <c r="Q15" s="84"/>
      <c r="R15" s="83"/>
      <c r="S15" s="84"/>
      <c r="T15" s="83"/>
      <c r="U15" s="186"/>
    </row>
    <row r="16" spans="2:21" ht="12" customHeight="1">
      <c r="B16" s="139"/>
      <c r="C16" s="31" t="s">
        <v>49</v>
      </c>
      <c r="D16" s="98" t="e">
        <f t="shared" ref="D16:D19" si="4">ROUND(AVERAGE(F16,H16,J16),3)</f>
        <v>#DIV/0!</v>
      </c>
      <c r="E16" s="98" t="e">
        <f t="shared" ref="E16:E19" si="5">ROUND(AVERAGE(G16,I16,K16),3)</f>
        <v>#DIV/0!</v>
      </c>
      <c r="F16" s="83"/>
      <c r="G16" s="84"/>
      <c r="H16" s="83"/>
      <c r="I16" s="84"/>
      <c r="J16" s="83"/>
      <c r="K16" s="186"/>
      <c r="L16" s="138"/>
      <c r="M16" s="31" t="s">
        <v>49</v>
      </c>
      <c r="N16" s="98" t="e">
        <f t="shared" ref="N16:N19" si="6">ROUND(AVERAGE(P16,R16,T16),3)</f>
        <v>#DIV/0!</v>
      </c>
      <c r="O16" s="98" t="e">
        <f t="shared" ref="O16:O19" si="7">ROUND(AVERAGE(Q16,S16,U16),3)</f>
        <v>#DIV/0!</v>
      </c>
      <c r="P16" s="83"/>
      <c r="Q16" s="84"/>
      <c r="R16" s="83"/>
      <c r="S16" s="84"/>
      <c r="T16" s="83"/>
      <c r="U16" s="186"/>
    </row>
    <row r="17" spans="2:21">
      <c r="B17" s="139" t="s">
        <v>28</v>
      </c>
      <c r="C17" s="31" t="s">
        <v>29</v>
      </c>
      <c r="D17" s="98">
        <f t="shared" si="4"/>
        <v>0</v>
      </c>
      <c r="E17" s="98">
        <f t="shared" si="5"/>
        <v>0</v>
      </c>
      <c r="F17" s="99">
        <f>SUM(F18:F19)</f>
        <v>0</v>
      </c>
      <c r="G17" s="99">
        <f t="shared" ref="G17:K17" si="8">SUM(G18:G19)</f>
        <v>0</v>
      </c>
      <c r="H17" s="99">
        <f t="shared" si="8"/>
        <v>0</v>
      </c>
      <c r="I17" s="99">
        <f t="shared" si="8"/>
        <v>0</v>
      </c>
      <c r="J17" s="99">
        <f t="shared" si="8"/>
        <v>0</v>
      </c>
      <c r="K17" s="184">
        <f t="shared" si="8"/>
        <v>0</v>
      </c>
      <c r="L17" s="138" t="s">
        <v>28</v>
      </c>
      <c r="M17" s="31" t="s">
        <v>29</v>
      </c>
      <c r="N17" s="98">
        <f t="shared" si="6"/>
        <v>0</v>
      </c>
      <c r="O17" s="98">
        <f t="shared" si="7"/>
        <v>0</v>
      </c>
      <c r="P17" s="99">
        <f t="shared" ref="P17:U17" si="9">SUM(P18:P19)</f>
        <v>0</v>
      </c>
      <c r="Q17" s="99">
        <f t="shared" si="9"/>
        <v>0</v>
      </c>
      <c r="R17" s="99">
        <f t="shared" si="9"/>
        <v>0</v>
      </c>
      <c r="S17" s="99">
        <f t="shared" si="9"/>
        <v>0</v>
      </c>
      <c r="T17" s="99">
        <f t="shared" si="9"/>
        <v>0</v>
      </c>
      <c r="U17" s="184">
        <f t="shared" si="9"/>
        <v>0</v>
      </c>
    </row>
    <row r="18" spans="2:21" ht="15" customHeight="1">
      <c r="B18" s="139"/>
      <c r="C18" s="31" t="s">
        <v>50</v>
      </c>
      <c r="D18" s="98" t="e">
        <f t="shared" si="4"/>
        <v>#DIV/0!</v>
      </c>
      <c r="E18" s="98" t="e">
        <f t="shared" si="5"/>
        <v>#DIV/0!</v>
      </c>
      <c r="F18" s="83"/>
      <c r="G18" s="84"/>
      <c r="H18" s="83"/>
      <c r="I18" s="84"/>
      <c r="J18" s="83"/>
      <c r="K18" s="186"/>
      <c r="L18" s="138"/>
      <c r="M18" s="31" t="s">
        <v>50</v>
      </c>
      <c r="N18" s="98" t="e">
        <f t="shared" si="6"/>
        <v>#DIV/0!</v>
      </c>
      <c r="O18" s="98" t="e">
        <f t="shared" si="7"/>
        <v>#DIV/0!</v>
      </c>
      <c r="P18" s="83"/>
      <c r="Q18" s="84"/>
      <c r="R18" s="83"/>
      <c r="S18" s="84"/>
      <c r="T18" s="83"/>
      <c r="U18" s="186"/>
    </row>
    <row r="19" spans="2:21" ht="15" customHeight="1">
      <c r="B19" s="139"/>
      <c r="C19" s="31" t="s">
        <v>51</v>
      </c>
      <c r="D19" s="98" t="e">
        <f t="shared" si="4"/>
        <v>#DIV/0!</v>
      </c>
      <c r="E19" s="98" t="e">
        <f t="shared" si="5"/>
        <v>#DIV/0!</v>
      </c>
      <c r="F19" s="83"/>
      <c r="G19" s="84"/>
      <c r="H19" s="83"/>
      <c r="I19" s="84"/>
      <c r="J19" s="83"/>
      <c r="K19" s="186"/>
      <c r="L19" s="138"/>
      <c r="M19" s="31" t="s">
        <v>51</v>
      </c>
      <c r="N19" s="98" t="e">
        <f t="shared" si="6"/>
        <v>#DIV/0!</v>
      </c>
      <c r="O19" s="98" t="e">
        <f t="shared" si="7"/>
        <v>#DIV/0!</v>
      </c>
      <c r="P19" s="83"/>
      <c r="Q19" s="84"/>
      <c r="R19" s="83"/>
      <c r="S19" s="84"/>
      <c r="T19" s="83"/>
      <c r="U19" s="186"/>
    </row>
    <row r="20" spans="2:21" ht="12" customHeight="1">
      <c r="B20" s="139" t="s">
        <v>30</v>
      </c>
      <c r="C20" s="31" t="s">
        <v>54</v>
      </c>
      <c r="D20" s="98" t="e">
        <f>ROUND(AVERAGE(F20,H20,J20),0)</f>
        <v>#DIV/0!</v>
      </c>
      <c r="E20" s="98" t="e">
        <f>ROUND(AVERAGE(G20,I20,K20),0)</f>
        <v>#DIV/0!</v>
      </c>
      <c r="F20" s="83"/>
      <c r="G20" s="84"/>
      <c r="H20" s="83"/>
      <c r="I20" s="84"/>
      <c r="J20" s="83"/>
      <c r="K20" s="186"/>
      <c r="L20" s="138" t="s">
        <v>30</v>
      </c>
      <c r="M20" s="31" t="s">
        <v>54</v>
      </c>
      <c r="N20" s="98" t="e">
        <f>ROUND(AVERAGE(P20,R20,T20),0)</f>
        <v>#DIV/0!</v>
      </c>
      <c r="O20" s="98" t="e">
        <f>ROUND(AVERAGE(Q20,S20,U20),0)</f>
        <v>#DIV/0!</v>
      </c>
      <c r="P20" s="83"/>
      <c r="Q20" s="84"/>
      <c r="R20" s="83"/>
      <c r="S20" s="84"/>
      <c r="T20" s="83"/>
      <c r="U20" s="186"/>
    </row>
    <row r="21" spans="2:21" ht="60.75" customHeight="1">
      <c r="B21" s="139" t="s">
        <v>31</v>
      </c>
      <c r="C21" s="31" t="s">
        <v>32</v>
      </c>
      <c r="D21" s="98" t="e">
        <f>SUM(D22:D28)</f>
        <v>#DIV/0!</v>
      </c>
      <c r="E21" s="205"/>
      <c r="F21" s="88"/>
      <c r="G21" s="88"/>
      <c r="H21" s="88"/>
      <c r="I21" s="88"/>
      <c r="J21" s="88"/>
      <c r="K21" s="206"/>
      <c r="L21" s="138" t="s">
        <v>31</v>
      </c>
      <c r="M21" s="31" t="s">
        <v>32</v>
      </c>
      <c r="N21" s="98" t="e">
        <f>SUM(N22:N28)</f>
        <v>#DIV/0!</v>
      </c>
      <c r="O21" s="205"/>
      <c r="P21" s="88"/>
      <c r="Q21" s="88"/>
      <c r="R21" s="88"/>
      <c r="S21" s="88"/>
      <c r="T21" s="88"/>
      <c r="U21" s="206"/>
    </row>
    <row r="22" spans="2:21" ht="15" customHeight="1">
      <c r="B22" s="139"/>
      <c r="C22" s="31" t="s">
        <v>58</v>
      </c>
      <c r="D22" s="98" t="e">
        <f>'Факт ПС за 3 года'!P13</f>
        <v>#DIV/0!</v>
      </c>
      <c r="E22" s="193"/>
      <c r="F22" s="191"/>
      <c r="G22" s="197"/>
      <c r="H22" s="191"/>
      <c r="I22" s="197"/>
      <c r="J22" s="191"/>
      <c r="K22" s="198"/>
      <c r="L22" s="138"/>
      <c r="M22" s="31" t="s">
        <v>58</v>
      </c>
      <c r="N22" s="98" t="e">
        <f>'Факт ПС за 3 года'!P48</f>
        <v>#DIV/0!</v>
      </c>
      <c r="O22" s="205"/>
      <c r="P22" s="191"/>
      <c r="Q22" s="197"/>
      <c r="R22" s="191"/>
      <c r="S22" s="197"/>
      <c r="T22" s="191"/>
      <c r="U22" s="198"/>
    </row>
    <row r="23" spans="2:21" ht="14.25" customHeight="1">
      <c r="B23" s="139"/>
      <c r="C23" s="31" t="s">
        <v>55</v>
      </c>
      <c r="D23" s="98" t="e">
        <f>'Факт ПС за 3 года'!P14</f>
        <v>#DIV/0!</v>
      </c>
      <c r="E23" s="193"/>
      <c r="F23" s="191"/>
      <c r="G23" s="197"/>
      <c r="H23" s="191"/>
      <c r="I23" s="197"/>
      <c r="J23" s="191"/>
      <c r="K23" s="198"/>
      <c r="L23" s="138"/>
      <c r="M23" s="31" t="s">
        <v>55</v>
      </c>
      <c r="N23" s="98" t="e">
        <f>'Факт ПС за 3 года'!P49</f>
        <v>#DIV/0!</v>
      </c>
      <c r="O23" s="205"/>
      <c r="P23" s="191"/>
      <c r="Q23" s="197"/>
      <c r="R23" s="191"/>
      <c r="S23" s="197"/>
      <c r="T23" s="191"/>
      <c r="U23" s="198"/>
    </row>
    <row r="24" spans="2:21" ht="14.25" customHeight="1">
      <c r="B24" s="139"/>
      <c r="C24" s="31" t="s">
        <v>56</v>
      </c>
      <c r="D24" s="98" t="e">
        <f>'Факт ПС за 3 года'!P15</f>
        <v>#DIV/0!</v>
      </c>
      <c r="E24" s="193"/>
      <c r="F24" s="191"/>
      <c r="G24" s="197"/>
      <c r="H24" s="191"/>
      <c r="I24" s="197"/>
      <c r="J24" s="191"/>
      <c r="K24" s="198"/>
      <c r="L24" s="138"/>
      <c r="M24" s="31" t="s">
        <v>56</v>
      </c>
      <c r="N24" s="98" t="e">
        <f>'Факт ПС за 3 года'!P50</f>
        <v>#DIV/0!</v>
      </c>
      <c r="O24" s="205"/>
      <c r="P24" s="191"/>
      <c r="Q24" s="197"/>
      <c r="R24" s="191"/>
      <c r="S24" s="197"/>
      <c r="T24" s="191"/>
      <c r="U24" s="198"/>
    </row>
    <row r="25" spans="2:21" ht="14.25" customHeight="1">
      <c r="B25" s="139"/>
      <c r="C25" s="31" t="s">
        <v>57</v>
      </c>
      <c r="D25" s="98" t="e">
        <f>'Факт ПС за 3 года'!P16</f>
        <v>#DIV/0!</v>
      </c>
      <c r="E25" s="193"/>
      <c r="F25" s="191"/>
      <c r="G25" s="197"/>
      <c r="H25" s="191"/>
      <c r="I25" s="197"/>
      <c r="J25" s="191"/>
      <c r="K25" s="198"/>
      <c r="L25" s="138"/>
      <c r="M25" s="31" t="s">
        <v>57</v>
      </c>
      <c r="N25" s="98" t="e">
        <f>'Факт ПС за 3 года'!P51</f>
        <v>#DIV/0!</v>
      </c>
      <c r="O25" s="205"/>
      <c r="P25" s="191"/>
      <c r="Q25" s="197"/>
      <c r="R25" s="191"/>
      <c r="S25" s="197"/>
      <c r="T25" s="191"/>
      <c r="U25" s="198"/>
    </row>
    <row r="26" spans="2:21" ht="14.25" customHeight="1">
      <c r="B26" s="139"/>
      <c r="C26" s="40" t="s">
        <v>59</v>
      </c>
      <c r="D26" s="98" t="e">
        <f>'Факт ПС за 3 года'!P17</f>
        <v>#DIV/0!</v>
      </c>
      <c r="E26" s="193"/>
      <c r="F26" s="191"/>
      <c r="G26" s="197"/>
      <c r="H26" s="191"/>
      <c r="I26" s="197"/>
      <c r="J26" s="191"/>
      <c r="K26" s="198"/>
      <c r="L26" s="138"/>
      <c r="M26" s="40" t="s">
        <v>59</v>
      </c>
      <c r="N26" s="98" t="e">
        <f>'Факт ПС за 3 года'!P52</f>
        <v>#DIV/0!</v>
      </c>
      <c r="O26" s="205"/>
      <c r="P26" s="191"/>
      <c r="Q26" s="197"/>
      <c r="R26" s="191"/>
      <c r="S26" s="197"/>
      <c r="T26" s="191"/>
      <c r="U26" s="198"/>
    </row>
    <row r="27" spans="2:21" ht="14.25" customHeight="1">
      <c r="B27" s="139"/>
      <c r="C27" s="40" t="s">
        <v>73</v>
      </c>
      <c r="D27" s="98" t="e">
        <f>'Факт ПС за 3 года'!P20</f>
        <v>#DIV/0!</v>
      </c>
      <c r="E27" s="193"/>
      <c r="F27" s="191"/>
      <c r="G27" s="197"/>
      <c r="H27" s="191"/>
      <c r="I27" s="197"/>
      <c r="J27" s="191"/>
      <c r="K27" s="198"/>
      <c r="L27" s="138"/>
      <c r="M27" s="40" t="s">
        <v>73</v>
      </c>
      <c r="N27" s="98" t="e">
        <f>'Факт ПС за 3 года'!P55</f>
        <v>#DIV/0!</v>
      </c>
      <c r="O27" s="205"/>
      <c r="P27" s="191"/>
      <c r="Q27" s="197"/>
      <c r="R27" s="191"/>
      <c r="S27" s="197"/>
      <c r="T27" s="191"/>
      <c r="U27" s="198"/>
    </row>
    <row r="28" spans="2:21" ht="14.25" customHeight="1">
      <c r="B28" s="139"/>
      <c r="C28" s="40" t="s">
        <v>74</v>
      </c>
      <c r="D28" s="98" t="e">
        <f>'Факт ПС за 3 года'!P21</f>
        <v>#DIV/0!</v>
      </c>
      <c r="E28" s="193"/>
      <c r="F28" s="191"/>
      <c r="G28" s="197"/>
      <c r="H28" s="191"/>
      <c r="I28" s="197"/>
      <c r="J28" s="191"/>
      <c r="K28" s="198"/>
      <c r="L28" s="138"/>
      <c r="M28" s="40" t="s">
        <v>74</v>
      </c>
      <c r="N28" s="98" t="e">
        <f>'Факт ПС за 3 года'!P56</f>
        <v>#DIV/0!</v>
      </c>
      <c r="O28" s="205"/>
      <c r="P28" s="191"/>
      <c r="Q28" s="197"/>
      <c r="R28" s="191"/>
      <c r="S28" s="197"/>
      <c r="T28" s="191"/>
      <c r="U28" s="198"/>
    </row>
    <row r="29" spans="2:21" customFormat="1" ht="25.5" customHeight="1">
      <c r="B29" s="139" t="s">
        <v>33</v>
      </c>
      <c r="C29" s="40" t="s">
        <v>34</v>
      </c>
      <c r="D29" s="98" t="e">
        <f t="shared" ref="D29" si="10">ROUND(AVERAGE(F29,H29,J29),0)</f>
        <v>#DIV/0!</v>
      </c>
      <c r="E29" s="98" t="e">
        <f t="shared" ref="E29" si="11">ROUND(AVERAGE(G29,I29,K29),0)</f>
        <v>#DIV/0!</v>
      </c>
      <c r="F29" s="83"/>
      <c r="G29" s="84"/>
      <c r="H29" s="83"/>
      <c r="I29" s="84"/>
      <c r="J29" s="83"/>
      <c r="K29" s="186"/>
      <c r="L29" s="138" t="s">
        <v>33</v>
      </c>
      <c r="M29" s="40" t="s">
        <v>34</v>
      </c>
      <c r="N29" s="98" t="e">
        <f t="shared" ref="N29" si="12">ROUND(AVERAGE(P29,R29,T29),0)</f>
        <v>#DIV/0!</v>
      </c>
      <c r="O29" s="98" t="e">
        <f t="shared" ref="O29" si="13">ROUND(AVERAGE(Q29,S29,U29),0)</f>
        <v>#DIV/0!</v>
      </c>
      <c r="P29" s="83"/>
      <c r="Q29" s="84"/>
      <c r="R29" s="83"/>
      <c r="S29" s="84"/>
      <c r="T29" s="83"/>
      <c r="U29" s="186"/>
    </row>
    <row r="30" spans="2:21" customFormat="1" ht="15">
      <c r="B30" s="219" t="s">
        <v>60</v>
      </c>
      <c r="C30" s="220"/>
      <c r="D30" s="90"/>
      <c r="E30" s="90"/>
      <c r="F30" s="88"/>
      <c r="G30" s="89"/>
      <c r="H30" s="88"/>
      <c r="I30" s="89"/>
      <c r="J30" s="88"/>
      <c r="K30" s="185"/>
      <c r="L30" s="220" t="s">
        <v>60</v>
      </c>
      <c r="M30" s="220"/>
      <c r="N30" s="90"/>
      <c r="O30" s="90"/>
      <c r="P30" s="88"/>
      <c r="Q30" s="89"/>
      <c r="R30" s="88"/>
      <c r="S30" s="89"/>
      <c r="T30" s="88"/>
      <c r="U30" s="185"/>
    </row>
    <row r="31" spans="2:21">
      <c r="B31" s="139" t="s">
        <v>61</v>
      </c>
      <c r="C31" s="86" t="s">
        <v>27</v>
      </c>
      <c r="D31" s="98">
        <f>ROUND(AVERAGE(F31,H31,J31),3)</f>
        <v>0</v>
      </c>
      <c r="E31" s="98">
        <f>ROUND(AVERAGE(G31,I31,K31),3)</f>
        <v>0</v>
      </c>
      <c r="F31" s="99">
        <f t="shared" ref="F31:K31" si="14">SUM(F32:F33)</f>
        <v>0</v>
      </c>
      <c r="G31" s="99">
        <f t="shared" si="14"/>
        <v>0</v>
      </c>
      <c r="H31" s="99">
        <f t="shared" si="14"/>
        <v>0</v>
      </c>
      <c r="I31" s="99">
        <f t="shared" si="14"/>
        <v>0</v>
      </c>
      <c r="J31" s="99">
        <f t="shared" si="14"/>
        <v>0</v>
      </c>
      <c r="K31" s="184">
        <f t="shared" si="14"/>
        <v>0</v>
      </c>
      <c r="L31" s="138" t="s">
        <v>61</v>
      </c>
      <c r="M31" s="86" t="s">
        <v>27</v>
      </c>
      <c r="N31" s="98">
        <f>ROUND(AVERAGE(P31,R31,T31),3)</f>
        <v>0</v>
      </c>
      <c r="O31" s="98">
        <f>ROUND(AVERAGE(Q31,S31,U31),3)</f>
        <v>0</v>
      </c>
      <c r="P31" s="99">
        <f t="shared" ref="P31:U31" si="15">SUM(P32:P33)</f>
        <v>0</v>
      </c>
      <c r="Q31" s="99">
        <f t="shared" si="15"/>
        <v>0</v>
      </c>
      <c r="R31" s="99">
        <f t="shared" si="15"/>
        <v>0</v>
      </c>
      <c r="S31" s="99">
        <f t="shared" si="15"/>
        <v>0</v>
      </c>
      <c r="T31" s="99">
        <f t="shared" si="15"/>
        <v>0</v>
      </c>
      <c r="U31" s="184">
        <f t="shared" si="15"/>
        <v>0</v>
      </c>
    </row>
    <row r="32" spans="2:21">
      <c r="B32" s="139"/>
      <c r="C32" s="31" t="s">
        <v>48</v>
      </c>
      <c r="D32" s="98" t="e">
        <f>ROUND(AVERAGE(F32,H32,J32),3)</f>
        <v>#DIV/0!</v>
      </c>
      <c r="E32" s="98" t="e">
        <f>ROUND(AVERAGE(G32,I32,K32),3)</f>
        <v>#DIV/0!</v>
      </c>
      <c r="F32" s="83"/>
      <c r="G32" s="84"/>
      <c r="H32" s="83"/>
      <c r="I32" s="84"/>
      <c r="J32" s="83"/>
      <c r="K32" s="186"/>
      <c r="L32" s="138"/>
      <c r="M32" s="31" t="s">
        <v>48</v>
      </c>
      <c r="N32" s="98" t="e">
        <f>ROUND(AVERAGE(P32,R32,T32),3)</f>
        <v>#DIV/0!</v>
      </c>
      <c r="O32" s="98" t="e">
        <f>ROUND(AVERAGE(Q32,S32,U32),3)</f>
        <v>#DIV/0!</v>
      </c>
      <c r="P32" s="83"/>
      <c r="Q32" s="84"/>
      <c r="R32" s="83"/>
      <c r="S32" s="84"/>
      <c r="T32" s="83"/>
      <c r="U32" s="186"/>
    </row>
    <row r="33" spans="2:21">
      <c r="B33" s="139"/>
      <c r="C33" s="31" t="s">
        <v>49</v>
      </c>
      <c r="D33" s="98" t="e">
        <f t="shared" ref="D33:D36" si="16">ROUND(AVERAGE(F33,H33,J33),3)</f>
        <v>#DIV/0!</v>
      </c>
      <c r="E33" s="98" t="e">
        <f t="shared" ref="E33:E36" si="17">ROUND(AVERAGE(G33,I33,K33),3)</f>
        <v>#DIV/0!</v>
      </c>
      <c r="F33" s="83"/>
      <c r="G33" s="84"/>
      <c r="H33" s="83"/>
      <c r="I33" s="84"/>
      <c r="J33" s="83"/>
      <c r="K33" s="186"/>
      <c r="L33" s="138"/>
      <c r="M33" s="31" t="s">
        <v>49</v>
      </c>
      <c r="N33" s="98" t="e">
        <f t="shared" ref="N33:N36" si="18">ROUND(AVERAGE(P33,R33,T33),3)</f>
        <v>#DIV/0!</v>
      </c>
      <c r="O33" s="98" t="e">
        <f t="shared" ref="O33:O36" si="19">ROUND(AVERAGE(Q33,S33,U33),3)</f>
        <v>#DIV/0!</v>
      </c>
      <c r="P33" s="83"/>
      <c r="Q33" s="84"/>
      <c r="R33" s="83"/>
      <c r="S33" s="84"/>
      <c r="T33" s="83"/>
      <c r="U33" s="186"/>
    </row>
    <row r="34" spans="2:21">
      <c r="B34" s="139" t="s">
        <v>62</v>
      </c>
      <c r="C34" s="31" t="s">
        <v>29</v>
      </c>
      <c r="D34" s="98">
        <f t="shared" si="16"/>
        <v>0</v>
      </c>
      <c r="E34" s="98">
        <f t="shared" si="17"/>
        <v>0</v>
      </c>
      <c r="F34" s="99">
        <f t="shared" ref="F34:K34" si="20">SUM(F35:F36)</f>
        <v>0</v>
      </c>
      <c r="G34" s="99">
        <f t="shared" si="20"/>
        <v>0</v>
      </c>
      <c r="H34" s="99">
        <f t="shared" si="20"/>
        <v>0</v>
      </c>
      <c r="I34" s="99">
        <f t="shared" si="20"/>
        <v>0</v>
      </c>
      <c r="J34" s="99">
        <f t="shared" si="20"/>
        <v>0</v>
      </c>
      <c r="K34" s="184">
        <f t="shared" si="20"/>
        <v>0</v>
      </c>
      <c r="L34" s="138" t="s">
        <v>62</v>
      </c>
      <c r="M34" s="31" t="s">
        <v>29</v>
      </c>
      <c r="N34" s="98">
        <f t="shared" si="18"/>
        <v>0</v>
      </c>
      <c r="O34" s="98">
        <f t="shared" si="19"/>
        <v>0</v>
      </c>
      <c r="P34" s="99">
        <f t="shared" ref="P34:U34" si="21">SUM(P35:P36)</f>
        <v>0</v>
      </c>
      <c r="Q34" s="99">
        <f t="shared" si="21"/>
        <v>0</v>
      </c>
      <c r="R34" s="99">
        <f t="shared" si="21"/>
        <v>0</v>
      </c>
      <c r="S34" s="99">
        <f t="shared" si="21"/>
        <v>0</v>
      </c>
      <c r="T34" s="99">
        <f t="shared" si="21"/>
        <v>0</v>
      </c>
      <c r="U34" s="184">
        <f t="shared" si="21"/>
        <v>0</v>
      </c>
    </row>
    <row r="35" spans="2:21">
      <c r="B35" s="139"/>
      <c r="C35" s="31" t="s">
        <v>50</v>
      </c>
      <c r="D35" s="98" t="e">
        <f t="shared" si="16"/>
        <v>#DIV/0!</v>
      </c>
      <c r="E35" s="98" t="e">
        <f t="shared" si="17"/>
        <v>#DIV/0!</v>
      </c>
      <c r="F35" s="83"/>
      <c r="G35" s="84"/>
      <c r="H35" s="83"/>
      <c r="I35" s="84"/>
      <c r="J35" s="83"/>
      <c r="K35" s="186"/>
      <c r="L35" s="138"/>
      <c r="M35" s="31" t="s">
        <v>50</v>
      </c>
      <c r="N35" s="98" t="e">
        <f t="shared" si="18"/>
        <v>#DIV/0!</v>
      </c>
      <c r="O35" s="98" t="e">
        <f t="shared" si="19"/>
        <v>#DIV/0!</v>
      </c>
      <c r="P35" s="83"/>
      <c r="Q35" s="84"/>
      <c r="R35" s="83"/>
      <c r="S35" s="84"/>
      <c r="T35" s="83"/>
      <c r="U35" s="186"/>
    </row>
    <row r="36" spans="2:21">
      <c r="B36" s="139"/>
      <c r="C36" s="31" t="s">
        <v>51</v>
      </c>
      <c r="D36" s="98" t="e">
        <f t="shared" si="16"/>
        <v>#DIV/0!</v>
      </c>
      <c r="E36" s="98" t="e">
        <f t="shared" si="17"/>
        <v>#DIV/0!</v>
      </c>
      <c r="F36" s="83"/>
      <c r="G36" s="84"/>
      <c r="H36" s="83"/>
      <c r="I36" s="84"/>
      <c r="J36" s="83"/>
      <c r="K36" s="186"/>
      <c r="L36" s="138"/>
      <c r="M36" s="31" t="s">
        <v>51</v>
      </c>
      <c r="N36" s="98" t="e">
        <f t="shared" si="18"/>
        <v>#DIV/0!</v>
      </c>
      <c r="O36" s="98" t="e">
        <f t="shared" si="19"/>
        <v>#DIV/0!</v>
      </c>
      <c r="P36" s="83"/>
      <c r="Q36" s="84"/>
      <c r="R36" s="83"/>
      <c r="S36" s="84"/>
      <c r="T36" s="83"/>
      <c r="U36" s="186"/>
    </row>
    <row r="37" spans="2:21">
      <c r="B37" s="139" t="s">
        <v>63</v>
      </c>
      <c r="C37" s="31" t="s">
        <v>54</v>
      </c>
      <c r="D37" s="98" t="e">
        <f t="shared" ref="D37:D46" si="22">ROUND(AVERAGE(F37,H37,J37),0)</f>
        <v>#DIV/0!</v>
      </c>
      <c r="E37" s="98" t="e">
        <f t="shared" ref="E37:E46" si="23">ROUND(AVERAGE(G37,I37,K37),0)</f>
        <v>#DIV/0!</v>
      </c>
      <c r="F37" s="83"/>
      <c r="G37" s="84"/>
      <c r="H37" s="83"/>
      <c r="I37" s="84"/>
      <c r="J37" s="83"/>
      <c r="K37" s="186"/>
      <c r="L37" s="138" t="s">
        <v>63</v>
      </c>
      <c r="M37" s="31" t="s">
        <v>54</v>
      </c>
      <c r="N37" s="98" t="e">
        <f t="shared" ref="N37:N46" si="24">ROUND(AVERAGE(P37,R37,T37),0)</f>
        <v>#DIV/0!</v>
      </c>
      <c r="O37" s="98" t="e">
        <f t="shared" ref="O37" si="25">ROUND(AVERAGE(Q37,S37,U37),0)</f>
        <v>#DIV/0!</v>
      </c>
      <c r="P37" s="83"/>
      <c r="Q37" s="84"/>
      <c r="R37" s="83"/>
      <c r="S37" s="84"/>
      <c r="T37" s="83"/>
      <c r="U37" s="186"/>
    </row>
    <row r="38" spans="2:21" ht="60" customHeight="1">
      <c r="B38" s="139" t="s">
        <v>64</v>
      </c>
      <c r="C38" s="31" t="s">
        <v>32</v>
      </c>
      <c r="D38" s="98" t="e">
        <f>SUM(D39:D45)</f>
        <v>#DIV/0!</v>
      </c>
      <c r="E38" s="205"/>
      <c r="F38" s="88"/>
      <c r="G38" s="88"/>
      <c r="H38" s="88"/>
      <c r="I38" s="88"/>
      <c r="J38" s="88"/>
      <c r="K38" s="206"/>
      <c r="L38" s="138" t="s">
        <v>64</v>
      </c>
      <c r="M38" s="31" t="s">
        <v>32</v>
      </c>
      <c r="N38" s="98" t="e">
        <f>SUM(N39:N45)</f>
        <v>#DIV/0!</v>
      </c>
      <c r="O38" s="205"/>
      <c r="P38" s="88"/>
      <c r="Q38" s="88"/>
      <c r="R38" s="88"/>
      <c r="S38" s="88"/>
      <c r="T38" s="88"/>
      <c r="U38" s="206"/>
    </row>
    <row r="39" spans="2:21">
      <c r="B39" s="139"/>
      <c r="C39" s="40" t="s">
        <v>58</v>
      </c>
      <c r="D39" s="98" t="e">
        <f>'Факт ПС за 3 года'!P30</f>
        <v>#DIV/0!</v>
      </c>
      <c r="E39" s="205"/>
      <c r="F39" s="191"/>
      <c r="G39" s="197"/>
      <c r="H39" s="191"/>
      <c r="I39" s="197"/>
      <c r="J39" s="191"/>
      <c r="K39" s="198"/>
      <c r="L39" s="138"/>
      <c r="M39" s="40" t="s">
        <v>58</v>
      </c>
      <c r="N39" s="98" t="e">
        <f>'Факт ПС за 3 года'!P65</f>
        <v>#DIV/0!</v>
      </c>
      <c r="O39" s="205"/>
      <c r="P39" s="191"/>
      <c r="Q39" s="197"/>
      <c r="R39" s="191"/>
      <c r="S39" s="197"/>
      <c r="T39" s="191"/>
      <c r="U39" s="198"/>
    </row>
    <row r="40" spans="2:21">
      <c r="B40" s="139"/>
      <c r="C40" s="40" t="s">
        <v>55</v>
      </c>
      <c r="D40" s="98" t="e">
        <f>'Факт ПС за 3 года'!P31</f>
        <v>#DIV/0!</v>
      </c>
      <c r="E40" s="205"/>
      <c r="F40" s="191"/>
      <c r="G40" s="197"/>
      <c r="H40" s="191"/>
      <c r="I40" s="197"/>
      <c r="J40" s="191"/>
      <c r="K40" s="198"/>
      <c r="L40" s="138"/>
      <c r="M40" s="40" t="s">
        <v>55</v>
      </c>
      <c r="N40" s="98" t="e">
        <f>'Факт ПС за 3 года'!P66</f>
        <v>#DIV/0!</v>
      </c>
      <c r="O40" s="205"/>
      <c r="P40" s="191"/>
      <c r="Q40" s="197"/>
      <c r="R40" s="191"/>
      <c r="S40" s="197"/>
      <c r="T40" s="191"/>
      <c r="U40" s="198"/>
    </row>
    <row r="41" spans="2:21">
      <c r="B41" s="139"/>
      <c r="C41" s="40" t="s">
        <v>56</v>
      </c>
      <c r="D41" s="98" t="e">
        <f>'Факт ПС за 3 года'!P32</f>
        <v>#DIV/0!</v>
      </c>
      <c r="E41" s="205"/>
      <c r="F41" s="191"/>
      <c r="G41" s="197"/>
      <c r="H41" s="191"/>
      <c r="I41" s="197"/>
      <c r="J41" s="191"/>
      <c r="K41" s="198"/>
      <c r="L41" s="138"/>
      <c r="M41" s="40" t="s">
        <v>56</v>
      </c>
      <c r="N41" s="98" t="e">
        <f>'Факт ПС за 3 года'!P67</f>
        <v>#DIV/0!</v>
      </c>
      <c r="O41" s="205"/>
      <c r="P41" s="191"/>
      <c r="Q41" s="197"/>
      <c r="R41" s="191"/>
      <c r="S41" s="197"/>
      <c r="T41" s="191"/>
      <c r="U41" s="198"/>
    </row>
    <row r="42" spans="2:21">
      <c r="B42" s="139"/>
      <c r="C42" s="40" t="s">
        <v>57</v>
      </c>
      <c r="D42" s="98" t="e">
        <f>'Факт ПС за 3 года'!P33</f>
        <v>#DIV/0!</v>
      </c>
      <c r="E42" s="205"/>
      <c r="F42" s="191"/>
      <c r="G42" s="197"/>
      <c r="H42" s="191"/>
      <c r="I42" s="197"/>
      <c r="J42" s="191"/>
      <c r="K42" s="198"/>
      <c r="L42" s="138"/>
      <c r="M42" s="40" t="s">
        <v>57</v>
      </c>
      <c r="N42" s="98" t="e">
        <f>'Факт ПС за 3 года'!P68</f>
        <v>#DIV/0!</v>
      </c>
      <c r="O42" s="205"/>
      <c r="P42" s="191"/>
      <c r="Q42" s="197"/>
      <c r="R42" s="191"/>
      <c r="S42" s="197"/>
      <c r="T42" s="191"/>
      <c r="U42" s="198"/>
    </row>
    <row r="43" spans="2:21">
      <c r="B43" s="139"/>
      <c r="C43" s="40" t="s">
        <v>59</v>
      </c>
      <c r="D43" s="98" t="e">
        <f>'Факт ПС за 3 года'!P34</f>
        <v>#DIV/0!</v>
      </c>
      <c r="E43" s="205"/>
      <c r="F43" s="191"/>
      <c r="G43" s="197"/>
      <c r="H43" s="191"/>
      <c r="I43" s="197"/>
      <c r="J43" s="191"/>
      <c r="K43" s="198"/>
      <c r="L43" s="138"/>
      <c r="M43" s="40" t="s">
        <v>59</v>
      </c>
      <c r="N43" s="98" t="e">
        <f>'Факт ПС за 3 года'!P69</f>
        <v>#DIV/0!</v>
      </c>
      <c r="O43" s="205"/>
      <c r="P43" s="191"/>
      <c r="Q43" s="197"/>
      <c r="R43" s="191"/>
      <c r="S43" s="197"/>
      <c r="T43" s="191"/>
      <c r="U43" s="198"/>
    </row>
    <row r="44" spans="2:21">
      <c r="B44" s="139"/>
      <c r="C44" s="40" t="s">
        <v>73</v>
      </c>
      <c r="D44" s="98" t="e">
        <f>'Факт ПС за 3 года'!P37</f>
        <v>#DIV/0!</v>
      </c>
      <c r="E44" s="205"/>
      <c r="F44" s="191"/>
      <c r="G44" s="197"/>
      <c r="H44" s="191"/>
      <c r="I44" s="197"/>
      <c r="J44" s="191"/>
      <c r="K44" s="198"/>
      <c r="L44" s="138"/>
      <c r="M44" s="40" t="s">
        <v>73</v>
      </c>
      <c r="N44" s="98" t="e">
        <f>'Факт ПС за 3 года'!P72</f>
        <v>#DIV/0!</v>
      </c>
      <c r="O44" s="205"/>
      <c r="P44" s="191"/>
      <c r="Q44" s="197"/>
      <c r="R44" s="191"/>
      <c r="S44" s="197"/>
      <c r="T44" s="191"/>
      <c r="U44" s="198"/>
    </row>
    <row r="45" spans="2:21">
      <c r="B45" s="139"/>
      <c r="C45" s="40" t="s">
        <v>74</v>
      </c>
      <c r="D45" s="98" t="e">
        <f>'Факт ПС за 3 года'!P38</f>
        <v>#DIV/0!</v>
      </c>
      <c r="E45" s="205"/>
      <c r="F45" s="191"/>
      <c r="G45" s="197"/>
      <c r="H45" s="191"/>
      <c r="I45" s="197"/>
      <c r="J45" s="191"/>
      <c r="K45" s="198"/>
      <c r="L45" s="138"/>
      <c r="M45" s="40" t="s">
        <v>74</v>
      </c>
      <c r="N45" s="98" t="e">
        <f>'Факт ПС за 3 года'!P73</f>
        <v>#DIV/0!</v>
      </c>
      <c r="O45" s="205"/>
      <c r="P45" s="191"/>
      <c r="Q45" s="197"/>
      <c r="R45" s="191"/>
      <c r="S45" s="197"/>
      <c r="T45" s="191"/>
      <c r="U45" s="198"/>
    </row>
    <row r="46" spans="2:21" ht="24">
      <c r="B46" s="139" t="s">
        <v>65</v>
      </c>
      <c r="C46" s="40" t="s">
        <v>34</v>
      </c>
      <c r="D46" s="98" t="e">
        <f t="shared" si="22"/>
        <v>#DIV/0!</v>
      </c>
      <c r="E46" s="98" t="e">
        <f t="shared" si="23"/>
        <v>#DIV/0!</v>
      </c>
      <c r="F46" s="83"/>
      <c r="G46" s="84"/>
      <c r="H46" s="83"/>
      <c r="I46" s="84"/>
      <c r="J46" s="83"/>
      <c r="K46" s="186"/>
      <c r="L46" s="138" t="s">
        <v>65</v>
      </c>
      <c r="M46" s="40" t="s">
        <v>34</v>
      </c>
      <c r="N46" s="98" t="e">
        <f t="shared" si="24"/>
        <v>#DIV/0!</v>
      </c>
      <c r="O46" s="98" t="e">
        <f t="shared" ref="O46" si="26">ROUND(AVERAGE(Q46,S46,U46),0)</f>
        <v>#DIV/0!</v>
      </c>
      <c r="P46" s="83"/>
      <c r="Q46" s="84"/>
      <c r="R46" s="83"/>
      <c r="S46" s="84"/>
      <c r="T46" s="83"/>
      <c r="U46" s="186"/>
    </row>
    <row r="47" spans="2:21">
      <c r="M47" s="42"/>
      <c r="N47" s="43"/>
    </row>
  </sheetData>
  <mergeCells count="20">
    <mergeCell ref="L30:M30"/>
    <mergeCell ref="B13:C13"/>
    <mergeCell ref="B30:C30"/>
    <mergeCell ref="F6:G6"/>
    <mergeCell ref="D6:E6"/>
    <mergeCell ref="H6:I6"/>
    <mergeCell ref="B8:K8"/>
    <mergeCell ref="J2:K2"/>
    <mergeCell ref="C4:K4"/>
    <mergeCell ref="C6:C7"/>
    <mergeCell ref="B6:B7"/>
    <mergeCell ref="L6:L7"/>
    <mergeCell ref="J6:K6"/>
    <mergeCell ref="P6:Q6"/>
    <mergeCell ref="R6:S6"/>
    <mergeCell ref="T6:U6"/>
    <mergeCell ref="L8:U8"/>
    <mergeCell ref="L13:M13"/>
    <mergeCell ref="M6:M7"/>
    <mergeCell ref="N6:O6"/>
  </mergeCells>
  <pageMargins left="0.7" right="0.7" top="0.75" bottom="0.75" header="0.3" footer="0.3"/>
  <pageSetup paperSize="9" scale="53" orientation="portrait" r:id="rId1"/>
  <colBreaks count="1" manualBreakCount="1">
    <brk id="11" max="4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4:Q81"/>
  <sheetViews>
    <sheetView view="pageBreakPreview" topLeftCell="A19" zoomScale="60" zoomScaleNormal="80" workbookViewId="0">
      <selection activeCell="B16" sqref="B16"/>
    </sheetView>
  </sheetViews>
  <sheetFormatPr defaultRowHeight="12"/>
  <cols>
    <col min="1" max="1" width="4.140625" style="1" customWidth="1"/>
    <col min="2" max="2" width="46.28515625" style="2" customWidth="1"/>
    <col min="3" max="5" width="12.5703125" style="2" customWidth="1"/>
    <col min="6" max="8" width="11.140625" style="2" customWidth="1"/>
    <col min="9" max="9" width="11.5703125" style="2" customWidth="1"/>
    <col min="10" max="10" width="11.42578125" style="2" customWidth="1"/>
    <col min="11" max="11" width="11.5703125" style="2" customWidth="1"/>
    <col min="12" max="12" width="11.42578125" style="2" customWidth="1"/>
    <col min="13" max="13" width="11.5703125" style="2" customWidth="1"/>
    <col min="14" max="14" width="12.140625" style="2" customWidth="1"/>
    <col min="15" max="15" width="12.5703125" style="2" customWidth="1"/>
    <col min="16" max="16384" width="9.140625" style="2"/>
  </cols>
  <sheetData>
    <row r="4" spans="1:17" ht="24" customHeight="1">
      <c r="A4" s="3" t="s">
        <v>0</v>
      </c>
      <c r="B4" s="259" t="s">
        <v>2</v>
      </c>
      <c r="C4" s="256">
        <v>2014</v>
      </c>
      <c r="D4" s="257"/>
      <c r="E4" s="258"/>
      <c r="F4" s="256">
        <v>2015</v>
      </c>
      <c r="G4" s="257"/>
      <c r="H4" s="258"/>
      <c r="I4" s="256">
        <v>2016</v>
      </c>
      <c r="J4" s="257"/>
      <c r="K4" s="258"/>
      <c r="L4" s="256" t="s">
        <v>204</v>
      </c>
      <c r="M4" s="257"/>
      <c r="N4" s="257"/>
      <c r="O4" s="258"/>
    </row>
    <row r="5" spans="1:17">
      <c r="B5" s="259"/>
      <c r="C5" s="256" t="s">
        <v>77</v>
      </c>
      <c r="D5" s="258"/>
      <c r="E5" s="177" t="s">
        <v>80</v>
      </c>
      <c r="F5" s="256" t="s">
        <v>77</v>
      </c>
      <c r="G5" s="258"/>
      <c r="H5" s="177" t="s">
        <v>80</v>
      </c>
      <c r="I5" s="256" t="s">
        <v>77</v>
      </c>
      <c r="J5" s="258"/>
      <c r="K5" s="4" t="s">
        <v>80</v>
      </c>
      <c r="L5" s="256" t="s">
        <v>77</v>
      </c>
      <c r="M5" s="258"/>
      <c r="N5" s="4" t="s">
        <v>80</v>
      </c>
      <c r="O5" s="200" t="s">
        <v>77</v>
      </c>
    </row>
    <row r="6" spans="1:17">
      <c r="B6" s="259"/>
      <c r="C6" s="177" t="s">
        <v>79</v>
      </c>
      <c r="D6" s="177" t="s">
        <v>78</v>
      </c>
      <c r="E6" s="177" t="s">
        <v>81</v>
      </c>
      <c r="F6" s="177" t="s">
        <v>79</v>
      </c>
      <c r="G6" s="177" t="s">
        <v>78</v>
      </c>
      <c r="H6" s="177" t="s">
        <v>81</v>
      </c>
      <c r="I6" s="4" t="s">
        <v>79</v>
      </c>
      <c r="J6" s="4" t="s">
        <v>78</v>
      </c>
      <c r="K6" s="4" t="s">
        <v>81</v>
      </c>
      <c r="L6" s="4" t="s">
        <v>79</v>
      </c>
      <c r="M6" s="4" t="s">
        <v>78</v>
      </c>
      <c r="N6" s="4" t="s">
        <v>81</v>
      </c>
      <c r="O6" s="200" t="s">
        <v>78</v>
      </c>
    </row>
    <row r="7" spans="1:17"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212">
        <v>15</v>
      </c>
    </row>
    <row r="8" spans="1:17" ht="24.75" customHeight="1">
      <c r="A8" s="3" t="s">
        <v>0</v>
      </c>
      <c r="B8" s="13" t="s">
        <v>82</v>
      </c>
      <c r="C8" s="6"/>
      <c r="D8" s="6"/>
      <c r="E8" s="7"/>
      <c r="F8" s="6"/>
      <c r="G8" s="6"/>
      <c r="H8" s="7"/>
      <c r="I8" s="6"/>
      <c r="J8" s="6"/>
      <c r="K8" s="7"/>
      <c r="L8" s="253"/>
      <c r="M8" s="254"/>
      <c r="N8" s="254"/>
      <c r="O8" s="255"/>
    </row>
    <row r="9" spans="1:17">
      <c r="A9" s="3"/>
      <c r="B9" s="12" t="s">
        <v>53</v>
      </c>
      <c r="C9" s="6"/>
      <c r="D9" s="6"/>
      <c r="E9" s="7"/>
      <c r="F9" s="6"/>
      <c r="G9" s="6"/>
      <c r="H9" s="7"/>
      <c r="I9" s="6"/>
      <c r="J9" s="6"/>
      <c r="K9" s="7"/>
      <c r="L9" s="6"/>
      <c r="M9" s="6"/>
      <c r="N9" s="7"/>
      <c r="O9" s="199"/>
    </row>
    <row r="10" spans="1:17">
      <c r="A10" s="3"/>
      <c r="B10" s="8" t="s">
        <v>67</v>
      </c>
      <c r="C10" s="14">
        <v>10</v>
      </c>
      <c r="D10" s="15">
        <f>C10*0.94</f>
        <v>9.3999999999999986</v>
      </c>
      <c r="E10" s="10"/>
      <c r="F10" s="14">
        <v>10</v>
      </c>
      <c r="G10" s="15">
        <f>F10*0.94</f>
        <v>9.3999999999999986</v>
      </c>
      <c r="H10" s="10"/>
      <c r="I10" s="14">
        <v>10</v>
      </c>
      <c r="J10" s="15">
        <f>I10*0.94</f>
        <v>9.3999999999999986</v>
      </c>
      <c r="K10" s="10"/>
      <c r="L10" s="14">
        <v>10</v>
      </c>
      <c r="M10" s="15">
        <f>L10*0.94</f>
        <v>9.3999999999999986</v>
      </c>
      <c r="N10" s="203" t="e">
        <f>ROUND(AVERAGE(E10,H10,K10),0)</f>
        <v>#DIV/0!</v>
      </c>
      <c r="O10" s="202" t="e">
        <f>ROUND(M10*N10,2)</f>
        <v>#DIV/0!</v>
      </c>
    </row>
    <row r="11" spans="1:17">
      <c r="A11" s="3"/>
      <c r="B11" s="8" t="s">
        <v>68</v>
      </c>
      <c r="C11" s="14">
        <v>25</v>
      </c>
      <c r="D11" s="15">
        <f>C11*0.94</f>
        <v>23.5</v>
      </c>
      <c r="E11" s="10"/>
      <c r="F11" s="14">
        <v>25</v>
      </c>
      <c r="G11" s="15">
        <f>F11*0.94</f>
        <v>23.5</v>
      </c>
      <c r="H11" s="10"/>
      <c r="I11" s="14">
        <v>25</v>
      </c>
      <c r="J11" s="15">
        <f>I11*0.94</f>
        <v>23.5</v>
      </c>
      <c r="K11" s="10"/>
      <c r="L11" s="14">
        <v>25</v>
      </c>
      <c r="M11" s="15">
        <f t="shared" ref="M11:M25" si="0">L11*0.94</f>
        <v>23.5</v>
      </c>
      <c r="N11" s="203" t="e">
        <f t="shared" ref="N11:N25" si="1">ROUND(AVERAGE(E11,H11,K11),0)</f>
        <v>#DIV/0!</v>
      </c>
      <c r="O11" s="202" t="e">
        <f t="shared" ref="O11:O25" si="2">ROUND(M11*N11,2)</f>
        <v>#DIV/0!</v>
      </c>
    </row>
    <row r="12" spans="1:17">
      <c r="A12" s="3"/>
      <c r="B12" s="8" t="s">
        <v>69</v>
      </c>
      <c r="C12" s="14">
        <v>40</v>
      </c>
      <c r="D12" s="15">
        <f t="shared" ref="D12:D25" si="3">C12*0.94</f>
        <v>37.599999999999994</v>
      </c>
      <c r="E12" s="10"/>
      <c r="F12" s="14">
        <v>40</v>
      </c>
      <c r="G12" s="15">
        <f t="shared" ref="G12:G25" si="4">F12*0.94</f>
        <v>37.599999999999994</v>
      </c>
      <c r="H12" s="10"/>
      <c r="I12" s="14">
        <v>40</v>
      </c>
      <c r="J12" s="15">
        <f t="shared" ref="J12:J25" si="5">I12*0.94</f>
        <v>37.599999999999994</v>
      </c>
      <c r="K12" s="10"/>
      <c r="L12" s="14">
        <v>40</v>
      </c>
      <c r="M12" s="15">
        <f t="shared" si="0"/>
        <v>37.599999999999994</v>
      </c>
      <c r="N12" s="203" t="e">
        <f t="shared" si="1"/>
        <v>#DIV/0!</v>
      </c>
      <c r="O12" s="202" t="e">
        <f t="shared" si="2"/>
        <v>#DIV/0!</v>
      </c>
    </row>
    <row r="13" spans="1:17">
      <c r="A13" s="3"/>
      <c r="B13" s="8" t="s">
        <v>66</v>
      </c>
      <c r="C13" s="14">
        <v>63</v>
      </c>
      <c r="D13" s="15">
        <f t="shared" si="3"/>
        <v>59.22</v>
      </c>
      <c r="E13" s="10"/>
      <c r="F13" s="14">
        <v>63</v>
      </c>
      <c r="G13" s="15">
        <f t="shared" si="4"/>
        <v>59.22</v>
      </c>
      <c r="H13" s="10"/>
      <c r="I13" s="14">
        <v>63</v>
      </c>
      <c r="J13" s="15">
        <f t="shared" si="5"/>
        <v>59.22</v>
      </c>
      <c r="K13" s="10"/>
      <c r="L13" s="14">
        <v>63</v>
      </c>
      <c r="M13" s="15">
        <f t="shared" si="0"/>
        <v>59.22</v>
      </c>
      <c r="N13" s="203" t="e">
        <f t="shared" si="1"/>
        <v>#DIV/0!</v>
      </c>
      <c r="O13" s="202" t="e">
        <f t="shared" si="2"/>
        <v>#DIV/0!</v>
      </c>
      <c r="P13" s="201" t="e">
        <f>SUM(N10:N13)</f>
        <v>#DIV/0!</v>
      </c>
      <c r="Q13" s="2" t="s">
        <v>119</v>
      </c>
    </row>
    <row r="14" spans="1:17">
      <c r="A14" s="3"/>
      <c r="B14" s="8" t="s">
        <v>55</v>
      </c>
      <c r="C14" s="14">
        <v>100</v>
      </c>
      <c r="D14" s="15">
        <f t="shared" si="3"/>
        <v>94</v>
      </c>
      <c r="E14" s="10"/>
      <c r="F14" s="14">
        <v>100</v>
      </c>
      <c r="G14" s="15">
        <f t="shared" si="4"/>
        <v>94</v>
      </c>
      <c r="H14" s="10"/>
      <c r="I14" s="14">
        <v>100</v>
      </c>
      <c r="J14" s="15">
        <f t="shared" si="5"/>
        <v>94</v>
      </c>
      <c r="K14" s="10"/>
      <c r="L14" s="14">
        <v>100</v>
      </c>
      <c r="M14" s="15">
        <f t="shared" si="0"/>
        <v>94</v>
      </c>
      <c r="N14" s="203" t="e">
        <f t="shared" si="1"/>
        <v>#DIV/0!</v>
      </c>
      <c r="O14" s="202" t="e">
        <f t="shared" si="2"/>
        <v>#DIV/0!</v>
      </c>
      <c r="P14" s="201" t="e">
        <f>N14</f>
        <v>#DIV/0!</v>
      </c>
    </row>
    <row r="15" spans="1:17">
      <c r="A15" s="3"/>
      <c r="B15" s="8" t="s">
        <v>56</v>
      </c>
      <c r="C15" s="14">
        <v>160</v>
      </c>
      <c r="D15" s="15">
        <f t="shared" si="3"/>
        <v>150.39999999999998</v>
      </c>
      <c r="E15" s="10"/>
      <c r="F15" s="14">
        <v>160</v>
      </c>
      <c r="G15" s="15">
        <f t="shared" si="4"/>
        <v>150.39999999999998</v>
      </c>
      <c r="H15" s="10"/>
      <c r="I15" s="14">
        <v>160</v>
      </c>
      <c r="J15" s="15">
        <f t="shared" si="5"/>
        <v>150.39999999999998</v>
      </c>
      <c r="K15" s="10"/>
      <c r="L15" s="14">
        <v>160</v>
      </c>
      <c r="M15" s="15">
        <f t="shared" si="0"/>
        <v>150.39999999999998</v>
      </c>
      <c r="N15" s="203" t="e">
        <f t="shared" si="1"/>
        <v>#DIV/0!</v>
      </c>
      <c r="O15" s="202" t="e">
        <f t="shared" si="2"/>
        <v>#DIV/0!</v>
      </c>
      <c r="P15" s="201" t="e">
        <f t="shared" ref="P15:P16" si="6">N15</f>
        <v>#DIV/0!</v>
      </c>
    </row>
    <row r="16" spans="1:17">
      <c r="A16" s="3"/>
      <c r="B16" s="8" t="s">
        <v>57</v>
      </c>
      <c r="C16" s="14">
        <v>250</v>
      </c>
      <c r="D16" s="15">
        <f t="shared" si="3"/>
        <v>235</v>
      </c>
      <c r="E16" s="10"/>
      <c r="F16" s="14">
        <v>250</v>
      </c>
      <c r="G16" s="15">
        <f t="shared" si="4"/>
        <v>235</v>
      </c>
      <c r="H16" s="10"/>
      <c r="I16" s="14">
        <v>250</v>
      </c>
      <c r="J16" s="15">
        <f t="shared" si="5"/>
        <v>235</v>
      </c>
      <c r="K16" s="10"/>
      <c r="L16" s="14">
        <v>250</v>
      </c>
      <c r="M16" s="15">
        <f t="shared" si="0"/>
        <v>235</v>
      </c>
      <c r="N16" s="203" t="e">
        <f t="shared" si="1"/>
        <v>#DIV/0!</v>
      </c>
      <c r="O16" s="202" t="e">
        <f t="shared" si="2"/>
        <v>#DIV/0!</v>
      </c>
      <c r="P16" s="201" t="e">
        <f t="shared" si="6"/>
        <v>#DIV/0!</v>
      </c>
    </row>
    <row r="17" spans="1:17">
      <c r="A17" s="3"/>
      <c r="B17" s="8" t="s">
        <v>70</v>
      </c>
      <c r="C17" s="14">
        <v>400</v>
      </c>
      <c r="D17" s="15">
        <f t="shared" si="3"/>
        <v>376</v>
      </c>
      <c r="E17" s="10"/>
      <c r="F17" s="14">
        <v>400</v>
      </c>
      <c r="G17" s="15">
        <f t="shared" si="4"/>
        <v>376</v>
      </c>
      <c r="H17" s="10"/>
      <c r="I17" s="14">
        <v>400</v>
      </c>
      <c r="J17" s="15">
        <f t="shared" si="5"/>
        <v>376</v>
      </c>
      <c r="K17" s="10"/>
      <c r="L17" s="14">
        <v>400</v>
      </c>
      <c r="M17" s="15">
        <f t="shared" si="0"/>
        <v>376</v>
      </c>
      <c r="N17" s="203" t="e">
        <f t="shared" si="1"/>
        <v>#DIV/0!</v>
      </c>
      <c r="O17" s="202" t="e">
        <f t="shared" si="2"/>
        <v>#DIV/0!</v>
      </c>
      <c r="P17" s="201" t="e">
        <f>SUM(N17:N19)</f>
        <v>#DIV/0!</v>
      </c>
      <c r="Q17" s="2" t="s">
        <v>120</v>
      </c>
    </row>
    <row r="18" spans="1:17">
      <c r="A18" s="3"/>
      <c r="B18" s="8" t="s">
        <v>71</v>
      </c>
      <c r="C18" s="14">
        <v>630</v>
      </c>
      <c r="D18" s="15">
        <f t="shared" si="3"/>
        <v>592.19999999999993</v>
      </c>
      <c r="E18" s="10"/>
      <c r="F18" s="14">
        <v>630</v>
      </c>
      <c r="G18" s="15">
        <f t="shared" si="4"/>
        <v>592.19999999999993</v>
      </c>
      <c r="H18" s="10"/>
      <c r="I18" s="14">
        <v>630</v>
      </c>
      <c r="J18" s="15">
        <f t="shared" si="5"/>
        <v>592.19999999999993</v>
      </c>
      <c r="K18" s="10"/>
      <c r="L18" s="14">
        <v>630</v>
      </c>
      <c r="M18" s="15">
        <f t="shared" si="0"/>
        <v>592.19999999999993</v>
      </c>
      <c r="N18" s="203" t="e">
        <f t="shared" si="1"/>
        <v>#DIV/0!</v>
      </c>
      <c r="O18" s="202" t="e">
        <f t="shared" si="2"/>
        <v>#DIV/0!</v>
      </c>
    </row>
    <row r="19" spans="1:17">
      <c r="A19" s="3"/>
      <c r="B19" s="9" t="s">
        <v>72</v>
      </c>
      <c r="C19" s="14">
        <v>1000</v>
      </c>
      <c r="D19" s="15">
        <f t="shared" si="3"/>
        <v>940</v>
      </c>
      <c r="E19" s="10"/>
      <c r="F19" s="14">
        <v>1000</v>
      </c>
      <c r="G19" s="15">
        <f t="shared" si="4"/>
        <v>940</v>
      </c>
      <c r="H19" s="10"/>
      <c r="I19" s="14">
        <v>1000</v>
      </c>
      <c r="J19" s="15">
        <f t="shared" si="5"/>
        <v>940</v>
      </c>
      <c r="K19" s="10"/>
      <c r="L19" s="14">
        <v>1000</v>
      </c>
      <c r="M19" s="15">
        <f t="shared" si="0"/>
        <v>940</v>
      </c>
      <c r="N19" s="203" t="e">
        <f t="shared" si="1"/>
        <v>#DIV/0!</v>
      </c>
      <c r="O19" s="202" t="e">
        <f t="shared" si="2"/>
        <v>#DIV/0!</v>
      </c>
    </row>
    <row r="20" spans="1:17">
      <c r="A20" s="3"/>
      <c r="B20" s="9" t="s">
        <v>75</v>
      </c>
      <c r="C20" s="14">
        <v>160</v>
      </c>
      <c r="D20" s="15">
        <f t="shared" si="3"/>
        <v>150.39999999999998</v>
      </c>
      <c r="E20" s="10"/>
      <c r="F20" s="14">
        <v>160</v>
      </c>
      <c r="G20" s="15">
        <f t="shared" si="4"/>
        <v>150.39999999999998</v>
      </c>
      <c r="H20" s="10"/>
      <c r="I20" s="14">
        <v>160</v>
      </c>
      <c r="J20" s="15">
        <f t="shared" si="5"/>
        <v>150.39999999999998</v>
      </c>
      <c r="K20" s="10"/>
      <c r="L20" s="14">
        <v>160</v>
      </c>
      <c r="M20" s="15">
        <f t="shared" si="0"/>
        <v>150.39999999999998</v>
      </c>
      <c r="N20" s="203" t="e">
        <f t="shared" si="1"/>
        <v>#DIV/0!</v>
      </c>
      <c r="O20" s="202" t="e">
        <f t="shared" si="2"/>
        <v>#DIV/0!</v>
      </c>
      <c r="P20" s="201" t="e">
        <f>N20</f>
        <v>#DIV/0!</v>
      </c>
    </row>
    <row r="21" spans="1:17">
      <c r="A21" s="3"/>
      <c r="B21" s="9" t="s">
        <v>76</v>
      </c>
      <c r="C21" s="14">
        <f>2*160</f>
        <v>320</v>
      </c>
      <c r="D21" s="15">
        <f t="shared" si="3"/>
        <v>300.79999999999995</v>
      </c>
      <c r="E21" s="10"/>
      <c r="F21" s="14">
        <f>2*160</f>
        <v>320</v>
      </c>
      <c r="G21" s="15">
        <f t="shared" si="4"/>
        <v>300.79999999999995</v>
      </c>
      <c r="H21" s="10"/>
      <c r="I21" s="14">
        <f>2*160</f>
        <v>320</v>
      </c>
      <c r="J21" s="15">
        <f t="shared" si="5"/>
        <v>300.79999999999995</v>
      </c>
      <c r="K21" s="10"/>
      <c r="L21" s="14">
        <f>2*160</f>
        <v>320</v>
      </c>
      <c r="M21" s="15">
        <f t="shared" si="0"/>
        <v>300.79999999999995</v>
      </c>
      <c r="N21" s="203" t="e">
        <f t="shared" si="1"/>
        <v>#DIV/0!</v>
      </c>
      <c r="O21" s="202" t="e">
        <f t="shared" si="2"/>
        <v>#DIV/0!</v>
      </c>
      <c r="P21" s="201" t="e">
        <f>N21</f>
        <v>#DIV/0!</v>
      </c>
    </row>
    <row r="22" spans="1:17">
      <c r="A22" s="3"/>
      <c r="B22" s="9" t="s">
        <v>93</v>
      </c>
      <c r="C22" s="14">
        <f>2*250</f>
        <v>500</v>
      </c>
      <c r="D22" s="15">
        <f t="shared" si="3"/>
        <v>470</v>
      </c>
      <c r="E22" s="71"/>
      <c r="F22" s="14">
        <f>2*250</f>
        <v>500</v>
      </c>
      <c r="G22" s="15">
        <f t="shared" si="4"/>
        <v>470</v>
      </c>
      <c r="H22" s="71"/>
      <c r="I22" s="14">
        <f>2*250</f>
        <v>500</v>
      </c>
      <c r="J22" s="15">
        <f t="shared" si="5"/>
        <v>470</v>
      </c>
      <c r="K22" s="71"/>
      <c r="L22" s="14">
        <f>2*250</f>
        <v>500</v>
      </c>
      <c r="M22" s="15">
        <f t="shared" si="0"/>
        <v>470</v>
      </c>
      <c r="N22" s="203" t="e">
        <f t="shared" si="1"/>
        <v>#DIV/0!</v>
      </c>
      <c r="O22" s="202" t="e">
        <f t="shared" si="2"/>
        <v>#DIV/0!</v>
      </c>
    </row>
    <row r="23" spans="1:17">
      <c r="A23" s="3"/>
      <c r="B23" s="9" t="s">
        <v>94</v>
      </c>
      <c r="C23" s="14">
        <f>2*400</f>
        <v>800</v>
      </c>
      <c r="D23" s="15">
        <f t="shared" si="3"/>
        <v>752</v>
      </c>
      <c r="E23" s="71"/>
      <c r="F23" s="14">
        <f>2*400</f>
        <v>800</v>
      </c>
      <c r="G23" s="15">
        <f t="shared" si="4"/>
        <v>752</v>
      </c>
      <c r="H23" s="71"/>
      <c r="I23" s="14">
        <f>2*400</f>
        <v>800</v>
      </c>
      <c r="J23" s="15">
        <f t="shared" si="5"/>
        <v>752</v>
      </c>
      <c r="K23" s="71"/>
      <c r="L23" s="14">
        <f>2*400</f>
        <v>800</v>
      </c>
      <c r="M23" s="15">
        <f t="shared" si="0"/>
        <v>752</v>
      </c>
      <c r="N23" s="203" t="e">
        <f t="shared" si="1"/>
        <v>#DIV/0!</v>
      </c>
      <c r="O23" s="202" t="e">
        <f t="shared" si="2"/>
        <v>#DIV/0!</v>
      </c>
    </row>
    <row r="24" spans="1:17">
      <c r="A24" s="3"/>
      <c r="B24" s="9" t="s">
        <v>95</v>
      </c>
      <c r="C24" s="14">
        <f>2*630</f>
        <v>1260</v>
      </c>
      <c r="D24" s="15">
        <f t="shared" si="3"/>
        <v>1184.3999999999999</v>
      </c>
      <c r="E24" s="71"/>
      <c r="F24" s="14">
        <f>2*630</f>
        <v>1260</v>
      </c>
      <c r="G24" s="15">
        <f t="shared" si="4"/>
        <v>1184.3999999999999</v>
      </c>
      <c r="H24" s="71"/>
      <c r="I24" s="14">
        <f>2*630</f>
        <v>1260</v>
      </c>
      <c r="J24" s="15">
        <f t="shared" si="5"/>
        <v>1184.3999999999999</v>
      </c>
      <c r="K24" s="71"/>
      <c r="L24" s="14">
        <f>2*630</f>
        <v>1260</v>
      </c>
      <c r="M24" s="15">
        <f t="shared" si="0"/>
        <v>1184.3999999999999</v>
      </c>
      <c r="N24" s="203" t="e">
        <f t="shared" si="1"/>
        <v>#DIV/0!</v>
      </c>
      <c r="O24" s="202" t="e">
        <f t="shared" si="2"/>
        <v>#DIV/0!</v>
      </c>
    </row>
    <row r="25" spans="1:17">
      <c r="A25" s="3"/>
      <c r="B25" s="9" t="s">
        <v>96</v>
      </c>
      <c r="C25" s="14">
        <f>2*1000</f>
        <v>2000</v>
      </c>
      <c r="D25" s="15">
        <f t="shared" si="3"/>
        <v>1880</v>
      </c>
      <c r="E25" s="71"/>
      <c r="F25" s="14">
        <f>2*1000</f>
        <v>2000</v>
      </c>
      <c r="G25" s="15">
        <f t="shared" si="4"/>
        <v>1880</v>
      </c>
      <c r="H25" s="71"/>
      <c r="I25" s="14">
        <f>2*1000</f>
        <v>2000</v>
      </c>
      <c r="J25" s="15">
        <f t="shared" si="5"/>
        <v>1880</v>
      </c>
      <c r="K25" s="71"/>
      <c r="L25" s="14">
        <f>2*1000</f>
        <v>2000</v>
      </c>
      <c r="M25" s="15">
        <f t="shared" si="0"/>
        <v>1880</v>
      </c>
      <c r="N25" s="203" t="e">
        <f t="shared" si="1"/>
        <v>#DIV/0!</v>
      </c>
      <c r="O25" s="202" t="e">
        <f t="shared" si="2"/>
        <v>#DIV/0!</v>
      </c>
    </row>
    <row r="26" spans="1:17">
      <c r="A26" s="3"/>
      <c r="B26" s="12" t="s">
        <v>60</v>
      </c>
      <c r="C26" s="6"/>
      <c r="D26" s="6"/>
      <c r="E26" s="7"/>
      <c r="F26" s="6"/>
      <c r="G26" s="6"/>
      <c r="H26" s="7"/>
      <c r="I26" s="6"/>
      <c r="J26" s="6"/>
      <c r="K26" s="7"/>
      <c r="L26" s="6"/>
      <c r="M26" s="6"/>
      <c r="N26" s="7"/>
      <c r="O26" s="204"/>
    </row>
    <row r="27" spans="1:17">
      <c r="A27" s="3"/>
      <c r="B27" s="8" t="s">
        <v>67</v>
      </c>
      <c r="C27" s="14">
        <v>10</v>
      </c>
      <c r="D27" s="11">
        <f>C27*0.94</f>
        <v>9.3999999999999986</v>
      </c>
      <c r="E27" s="10"/>
      <c r="F27" s="14">
        <v>10</v>
      </c>
      <c r="G27" s="11">
        <f>F27*0.94</f>
        <v>9.3999999999999986</v>
      </c>
      <c r="H27" s="10"/>
      <c r="I27" s="14">
        <v>10</v>
      </c>
      <c r="J27" s="11">
        <f>I27*0.94</f>
        <v>9.3999999999999986</v>
      </c>
      <c r="K27" s="10"/>
      <c r="L27" s="14">
        <v>10</v>
      </c>
      <c r="M27" s="11">
        <f>L27*0.94</f>
        <v>9.3999999999999986</v>
      </c>
      <c r="N27" s="203" t="e">
        <f>ROUND(AVERAGE(E27,H27,K27),0)</f>
        <v>#DIV/0!</v>
      </c>
      <c r="O27" s="202" t="e">
        <f>ROUND(M27*N27,2)</f>
        <v>#DIV/0!</v>
      </c>
    </row>
    <row r="28" spans="1:17">
      <c r="A28" s="3"/>
      <c r="B28" s="8" t="s">
        <v>68</v>
      </c>
      <c r="C28" s="14">
        <v>25</v>
      </c>
      <c r="D28" s="11">
        <f t="shared" ref="D28:D42" si="7">C28*0.94</f>
        <v>23.5</v>
      </c>
      <c r="E28" s="10"/>
      <c r="F28" s="14">
        <v>25</v>
      </c>
      <c r="G28" s="11">
        <f t="shared" ref="G28:G42" si="8">F28*0.94</f>
        <v>23.5</v>
      </c>
      <c r="H28" s="10"/>
      <c r="I28" s="14">
        <v>25</v>
      </c>
      <c r="J28" s="11">
        <f t="shared" ref="J28:J42" si="9">I28*0.94</f>
        <v>23.5</v>
      </c>
      <c r="K28" s="10"/>
      <c r="L28" s="14">
        <v>25</v>
      </c>
      <c r="M28" s="11">
        <f t="shared" ref="M28:M42" si="10">L28*0.94</f>
        <v>23.5</v>
      </c>
      <c r="N28" s="203" t="e">
        <f t="shared" ref="N28:N42" si="11">ROUND(AVERAGE(E28,H28,K28),0)</f>
        <v>#DIV/0!</v>
      </c>
      <c r="O28" s="202" t="e">
        <f t="shared" ref="O28:O42" si="12">ROUND(M28*N28,2)</f>
        <v>#DIV/0!</v>
      </c>
    </row>
    <row r="29" spans="1:17">
      <c r="A29" s="3"/>
      <c r="B29" s="8" t="s">
        <v>69</v>
      </c>
      <c r="C29" s="14">
        <v>40</v>
      </c>
      <c r="D29" s="11">
        <f t="shared" si="7"/>
        <v>37.599999999999994</v>
      </c>
      <c r="E29" s="10"/>
      <c r="F29" s="14">
        <v>40</v>
      </c>
      <c r="G29" s="11">
        <f t="shared" si="8"/>
        <v>37.599999999999994</v>
      </c>
      <c r="H29" s="10"/>
      <c r="I29" s="14">
        <v>40</v>
      </c>
      <c r="J29" s="11">
        <f t="shared" si="9"/>
        <v>37.599999999999994</v>
      </c>
      <c r="K29" s="10"/>
      <c r="L29" s="14">
        <v>40</v>
      </c>
      <c r="M29" s="11">
        <f t="shared" si="10"/>
        <v>37.599999999999994</v>
      </c>
      <c r="N29" s="203" t="e">
        <f t="shared" si="11"/>
        <v>#DIV/0!</v>
      </c>
      <c r="O29" s="202" t="e">
        <f t="shared" si="12"/>
        <v>#DIV/0!</v>
      </c>
    </row>
    <row r="30" spans="1:17">
      <c r="A30" s="3"/>
      <c r="B30" s="8" t="s">
        <v>66</v>
      </c>
      <c r="C30" s="14">
        <v>63</v>
      </c>
      <c r="D30" s="11">
        <f t="shared" si="7"/>
        <v>59.22</v>
      </c>
      <c r="E30" s="10"/>
      <c r="F30" s="14">
        <v>63</v>
      </c>
      <c r="G30" s="11">
        <f t="shared" si="8"/>
        <v>59.22</v>
      </c>
      <c r="H30" s="10"/>
      <c r="I30" s="14">
        <v>63</v>
      </c>
      <c r="J30" s="11">
        <f t="shared" si="9"/>
        <v>59.22</v>
      </c>
      <c r="K30" s="10"/>
      <c r="L30" s="14">
        <v>63</v>
      </c>
      <c r="M30" s="11">
        <f t="shared" si="10"/>
        <v>59.22</v>
      </c>
      <c r="N30" s="203" t="e">
        <f t="shared" si="11"/>
        <v>#DIV/0!</v>
      </c>
      <c r="O30" s="202" t="e">
        <f t="shared" si="12"/>
        <v>#DIV/0!</v>
      </c>
      <c r="P30" s="201" t="e">
        <f>SUM(N27:N30)</f>
        <v>#DIV/0!</v>
      </c>
      <c r="Q30" s="2" t="s">
        <v>119</v>
      </c>
    </row>
    <row r="31" spans="1:17">
      <c r="A31" s="3"/>
      <c r="B31" s="8" t="s">
        <v>55</v>
      </c>
      <c r="C31" s="14">
        <v>100</v>
      </c>
      <c r="D31" s="11">
        <f t="shared" si="7"/>
        <v>94</v>
      </c>
      <c r="E31" s="10"/>
      <c r="F31" s="14">
        <v>100</v>
      </c>
      <c r="G31" s="11">
        <f t="shared" si="8"/>
        <v>94</v>
      </c>
      <c r="H31" s="10"/>
      <c r="I31" s="14">
        <v>100</v>
      </c>
      <c r="J31" s="11">
        <f t="shared" si="9"/>
        <v>94</v>
      </c>
      <c r="K31" s="10"/>
      <c r="L31" s="14">
        <v>100</v>
      </c>
      <c r="M31" s="11">
        <f t="shared" si="10"/>
        <v>94</v>
      </c>
      <c r="N31" s="203" t="e">
        <f t="shared" si="11"/>
        <v>#DIV/0!</v>
      </c>
      <c r="O31" s="202" t="e">
        <f t="shared" si="12"/>
        <v>#DIV/0!</v>
      </c>
      <c r="P31" s="201" t="e">
        <f>N31</f>
        <v>#DIV/0!</v>
      </c>
    </row>
    <row r="32" spans="1:17">
      <c r="A32" s="3"/>
      <c r="B32" s="8" t="s">
        <v>56</v>
      </c>
      <c r="C32" s="14">
        <v>160</v>
      </c>
      <c r="D32" s="11">
        <f t="shared" si="7"/>
        <v>150.39999999999998</v>
      </c>
      <c r="E32" s="10"/>
      <c r="F32" s="14">
        <v>160</v>
      </c>
      <c r="G32" s="11">
        <f t="shared" si="8"/>
        <v>150.39999999999998</v>
      </c>
      <c r="H32" s="10"/>
      <c r="I32" s="14">
        <v>160</v>
      </c>
      <c r="J32" s="11">
        <f t="shared" si="9"/>
        <v>150.39999999999998</v>
      </c>
      <c r="K32" s="10"/>
      <c r="L32" s="14">
        <v>160</v>
      </c>
      <c r="M32" s="11">
        <f t="shared" si="10"/>
        <v>150.39999999999998</v>
      </c>
      <c r="N32" s="203" t="e">
        <f t="shared" si="11"/>
        <v>#DIV/0!</v>
      </c>
      <c r="O32" s="202" t="e">
        <f t="shared" si="12"/>
        <v>#DIV/0!</v>
      </c>
      <c r="P32" s="201" t="e">
        <f t="shared" ref="P32:P33" si="13">N32</f>
        <v>#DIV/0!</v>
      </c>
    </row>
    <row r="33" spans="1:17">
      <c r="A33" s="3"/>
      <c r="B33" s="8" t="s">
        <v>57</v>
      </c>
      <c r="C33" s="14">
        <v>250</v>
      </c>
      <c r="D33" s="11">
        <f t="shared" si="7"/>
        <v>235</v>
      </c>
      <c r="E33" s="10"/>
      <c r="F33" s="14">
        <v>250</v>
      </c>
      <c r="G33" s="11">
        <f t="shared" si="8"/>
        <v>235</v>
      </c>
      <c r="H33" s="10"/>
      <c r="I33" s="14">
        <v>250</v>
      </c>
      <c r="J33" s="11">
        <f t="shared" si="9"/>
        <v>235</v>
      </c>
      <c r="K33" s="10"/>
      <c r="L33" s="14">
        <v>250</v>
      </c>
      <c r="M33" s="11">
        <f t="shared" si="10"/>
        <v>235</v>
      </c>
      <c r="N33" s="203" t="e">
        <f t="shared" si="11"/>
        <v>#DIV/0!</v>
      </c>
      <c r="O33" s="202" t="e">
        <f t="shared" si="12"/>
        <v>#DIV/0!</v>
      </c>
      <c r="P33" s="201" t="e">
        <f t="shared" si="13"/>
        <v>#DIV/0!</v>
      </c>
    </row>
    <row r="34" spans="1:17">
      <c r="A34" s="3"/>
      <c r="B34" s="8" t="s">
        <v>70</v>
      </c>
      <c r="C34" s="14">
        <v>400</v>
      </c>
      <c r="D34" s="11">
        <f t="shared" si="7"/>
        <v>376</v>
      </c>
      <c r="E34" s="10"/>
      <c r="F34" s="14">
        <v>400</v>
      </c>
      <c r="G34" s="11">
        <f t="shared" si="8"/>
        <v>376</v>
      </c>
      <c r="H34" s="10"/>
      <c r="I34" s="14">
        <v>400</v>
      </c>
      <c r="J34" s="11">
        <f t="shared" si="9"/>
        <v>376</v>
      </c>
      <c r="K34" s="10"/>
      <c r="L34" s="14">
        <v>400</v>
      </c>
      <c r="M34" s="11">
        <f t="shared" si="10"/>
        <v>376</v>
      </c>
      <c r="N34" s="203" t="e">
        <f t="shared" si="11"/>
        <v>#DIV/0!</v>
      </c>
      <c r="O34" s="202" t="e">
        <f t="shared" si="12"/>
        <v>#DIV/0!</v>
      </c>
      <c r="P34" s="201" t="e">
        <f>SUM(N34:N36)</f>
        <v>#DIV/0!</v>
      </c>
      <c r="Q34" s="2" t="s">
        <v>120</v>
      </c>
    </row>
    <row r="35" spans="1:17">
      <c r="A35" s="3"/>
      <c r="B35" s="8" t="s">
        <v>71</v>
      </c>
      <c r="C35" s="14">
        <v>630</v>
      </c>
      <c r="D35" s="11">
        <f t="shared" si="7"/>
        <v>592.19999999999993</v>
      </c>
      <c r="E35" s="10"/>
      <c r="F35" s="14">
        <v>630</v>
      </c>
      <c r="G35" s="11">
        <f t="shared" si="8"/>
        <v>592.19999999999993</v>
      </c>
      <c r="H35" s="10"/>
      <c r="I35" s="14">
        <v>630</v>
      </c>
      <c r="J35" s="11">
        <f t="shared" si="9"/>
        <v>592.19999999999993</v>
      </c>
      <c r="K35" s="10"/>
      <c r="L35" s="14">
        <v>630</v>
      </c>
      <c r="M35" s="11">
        <f t="shared" si="10"/>
        <v>592.19999999999993</v>
      </c>
      <c r="N35" s="203" t="e">
        <f t="shared" si="11"/>
        <v>#DIV/0!</v>
      </c>
      <c r="O35" s="202" t="e">
        <f t="shared" si="12"/>
        <v>#DIV/0!</v>
      </c>
    </row>
    <row r="36" spans="1:17">
      <c r="A36" s="3"/>
      <c r="B36" s="9" t="s">
        <v>72</v>
      </c>
      <c r="C36" s="14">
        <v>1000</v>
      </c>
      <c r="D36" s="11">
        <f t="shared" si="7"/>
        <v>940</v>
      </c>
      <c r="E36" s="10"/>
      <c r="F36" s="14">
        <v>1000</v>
      </c>
      <c r="G36" s="11">
        <f t="shared" si="8"/>
        <v>940</v>
      </c>
      <c r="H36" s="10"/>
      <c r="I36" s="14">
        <v>1000</v>
      </c>
      <c r="J36" s="11">
        <f t="shared" si="9"/>
        <v>940</v>
      </c>
      <c r="K36" s="10"/>
      <c r="L36" s="14">
        <v>1000</v>
      </c>
      <c r="M36" s="11">
        <f t="shared" si="10"/>
        <v>940</v>
      </c>
      <c r="N36" s="203" t="e">
        <f t="shared" si="11"/>
        <v>#DIV/0!</v>
      </c>
      <c r="O36" s="202" t="e">
        <f t="shared" si="12"/>
        <v>#DIV/0!</v>
      </c>
    </row>
    <row r="37" spans="1:17">
      <c r="A37" s="3"/>
      <c r="B37" s="9" t="s">
        <v>75</v>
      </c>
      <c r="C37" s="14">
        <v>160</v>
      </c>
      <c r="D37" s="11">
        <f t="shared" si="7"/>
        <v>150.39999999999998</v>
      </c>
      <c r="E37" s="10"/>
      <c r="F37" s="14">
        <v>160</v>
      </c>
      <c r="G37" s="11">
        <f t="shared" si="8"/>
        <v>150.39999999999998</v>
      </c>
      <c r="H37" s="10"/>
      <c r="I37" s="14">
        <v>160</v>
      </c>
      <c r="J37" s="11">
        <f t="shared" si="9"/>
        <v>150.39999999999998</v>
      </c>
      <c r="K37" s="10"/>
      <c r="L37" s="14">
        <v>160</v>
      </c>
      <c r="M37" s="11">
        <f t="shared" si="10"/>
        <v>150.39999999999998</v>
      </c>
      <c r="N37" s="203" t="e">
        <f t="shared" si="11"/>
        <v>#DIV/0!</v>
      </c>
      <c r="O37" s="202" t="e">
        <f t="shared" si="12"/>
        <v>#DIV/0!</v>
      </c>
      <c r="P37" s="201" t="e">
        <f>N37</f>
        <v>#DIV/0!</v>
      </c>
    </row>
    <row r="38" spans="1:17">
      <c r="A38" s="3"/>
      <c r="B38" s="9" t="s">
        <v>76</v>
      </c>
      <c r="C38" s="14">
        <f>2*160</f>
        <v>320</v>
      </c>
      <c r="D38" s="11">
        <f t="shared" si="7"/>
        <v>300.79999999999995</v>
      </c>
      <c r="E38" s="10"/>
      <c r="F38" s="14">
        <f>2*160</f>
        <v>320</v>
      </c>
      <c r="G38" s="11">
        <f t="shared" si="8"/>
        <v>300.79999999999995</v>
      </c>
      <c r="H38" s="10"/>
      <c r="I38" s="14">
        <f>2*160</f>
        <v>320</v>
      </c>
      <c r="J38" s="11">
        <f t="shared" si="9"/>
        <v>300.79999999999995</v>
      </c>
      <c r="K38" s="10"/>
      <c r="L38" s="14">
        <f>2*160</f>
        <v>320</v>
      </c>
      <c r="M38" s="11">
        <f t="shared" si="10"/>
        <v>300.79999999999995</v>
      </c>
      <c r="N38" s="203" t="e">
        <f t="shared" si="11"/>
        <v>#DIV/0!</v>
      </c>
      <c r="O38" s="202" t="e">
        <f t="shared" si="12"/>
        <v>#DIV/0!</v>
      </c>
      <c r="P38" s="201" t="e">
        <f>N38</f>
        <v>#DIV/0!</v>
      </c>
    </row>
    <row r="39" spans="1:17">
      <c r="A39" s="3"/>
      <c r="B39" s="9" t="s">
        <v>93</v>
      </c>
      <c r="C39" s="14">
        <f>2*250</f>
        <v>500</v>
      </c>
      <c r="D39" s="15">
        <f t="shared" si="7"/>
        <v>470</v>
      </c>
      <c r="E39" s="71"/>
      <c r="F39" s="14">
        <f>2*250</f>
        <v>500</v>
      </c>
      <c r="G39" s="15">
        <f t="shared" si="8"/>
        <v>470</v>
      </c>
      <c r="H39" s="71"/>
      <c r="I39" s="14">
        <f>2*250</f>
        <v>500</v>
      </c>
      <c r="J39" s="15">
        <f t="shared" si="9"/>
        <v>470</v>
      </c>
      <c r="K39" s="71"/>
      <c r="L39" s="14">
        <f>2*250</f>
        <v>500</v>
      </c>
      <c r="M39" s="15">
        <f t="shared" si="10"/>
        <v>470</v>
      </c>
      <c r="N39" s="203" t="e">
        <f t="shared" si="11"/>
        <v>#DIV/0!</v>
      </c>
      <c r="O39" s="202" t="e">
        <f t="shared" si="12"/>
        <v>#DIV/0!</v>
      </c>
    </row>
    <row r="40" spans="1:17">
      <c r="A40" s="3"/>
      <c r="B40" s="9" t="s">
        <v>94</v>
      </c>
      <c r="C40" s="14">
        <f>2*400</f>
        <v>800</v>
      </c>
      <c r="D40" s="15">
        <f t="shared" si="7"/>
        <v>752</v>
      </c>
      <c r="E40" s="71"/>
      <c r="F40" s="14">
        <f>2*400</f>
        <v>800</v>
      </c>
      <c r="G40" s="15">
        <f t="shared" si="8"/>
        <v>752</v>
      </c>
      <c r="H40" s="71"/>
      <c r="I40" s="14">
        <f>2*400</f>
        <v>800</v>
      </c>
      <c r="J40" s="15">
        <f t="shared" si="9"/>
        <v>752</v>
      </c>
      <c r="K40" s="71"/>
      <c r="L40" s="14">
        <f>2*400</f>
        <v>800</v>
      </c>
      <c r="M40" s="15">
        <f t="shared" si="10"/>
        <v>752</v>
      </c>
      <c r="N40" s="203" t="e">
        <f t="shared" si="11"/>
        <v>#DIV/0!</v>
      </c>
      <c r="O40" s="202" t="e">
        <f t="shared" si="12"/>
        <v>#DIV/0!</v>
      </c>
    </row>
    <row r="41" spans="1:17">
      <c r="A41" s="3"/>
      <c r="B41" s="9" t="s">
        <v>95</v>
      </c>
      <c r="C41" s="14">
        <f>2*630</f>
        <v>1260</v>
      </c>
      <c r="D41" s="15">
        <f t="shared" si="7"/>
        <v>1184.3999999999999</v>
      </c>
      <c r="E41" s="71"/>
      <c r="F41" s="14">
        <f>2*630</f>
        <v>1260</v>
      </c>
      <c r="G41" s="15">
        <f t="shared" si="8"/>
        <v>1184.3999999999999</v>
      </c>
      <c r="H41" s="71"/>
      <c r="I41" s="14">
        <f>2*630</f>
        <v>1260</v>
      </c>
      <c r="J41" s="15">
        <f t="shared" si="9"/>
        <v>1184.3999999999999</v>
      </c>
      <c r="K41" s="71"/>
      <c r="L41" s="14">
        <f>2*630</f>
        <v>1260</v>
      </c>
      <c r="M41" s="15">
        <f t="shared" si="10"/>
        <v>1184.3999999999999</v>
      </c>
      <c r="N41" s="203" t="e">
        <f t="shared" si="11"/>
        <v>#DIV/0!</v>
      </c>
      <c r="O41" s="202" t="e">
        <f t="shared" si="12"/>
        <v>#DIV/0!</v>
      </c>
    </row>
    <row r="42" spans="1:17">
      <c r="A42" s="3"/>
      <c r="B42" s="9" t="s">
        <v>96</v>
      </c>
      <c r="C42" s="14">
        <f>2*1000</f>
        <v>2000</v>
      </c>
      <c r="D42" s="15">
        <f t="shared" si="7"/>
        <v>1880</v>
      </c>
      <c r="E42" s="71"/>
      <c r="F42" s="14">
        <f>2*1000</f>
        <v>2000</v>
      </c>
      <c r="G42" s="15">
        <f t="shared" si="8"/>
        <v>1880</v>
      </c>
      <c r="H42" s="71"/>
      <c r="I42" s="14">
        <f>2*1000</f>
        <v>2000</v>
      </c>
      <c r="J42" s="15">
        <f t="shared" si="9"/>
        <v>1880</v>
      </c>
      <c r="K42" s="71"/>
      <c r="L42" s="14">
        <f>2*1000</f>
        <v>2000</v>
      </c>
      <c r="M42" s="15">
        <f t="shared" si="10"/>
        <v>1880</v>
      </c>
      <c r="N42" s="203" t="e">
        <f t="shared" si="11"/>
        <v>#DIV/0!</v>
      </c>
      <c r="O42" s="202" t="e">
        <f t="shared" si="12"/>
        <v>#DIV/0!</v>
      </c>
    </row>
    <row r="43" spans="1:17" ht="24">
      <c r="A43" s="3" t="s">
        <v>0</v>
      </c>
      <c r="B43" s="13" t="s">
        <v>97</v>
      </c>
      <c r="C43" s="6"/>
      <c r="D43" s="6"/>
      <c r="E43" s="7"/>
      <c r="F43" s="6"/>
      <c r="G43" s="6"/>
      <c r="H43" s="7"/>
      <c r="I43" s="6"/>
      <c r="J43" s="6"/>
      <c r="K43" s="7"/>
      <c r="L43" s="6"/>
      <c r="M43" s="6"/>
      <c r="N43" s="7"/>
      <c r="O43" s="204"/>
    </row>
    <row r="44" spans="1:17">
      <c r="A44" s="3"/>
      <c r="B44" s="12" t="s">
        <v>53</v>
      </c>
      <c r="C44" s="6"/>
      <c r="D44" s="6"/>
      <c r="E44" s="7"/>
      <c r="F44" s="6"/>
      <c r="G44" s="6"/>
      <c r="H44" s="7"/>
      <c r="I44" s="6"/>
      <c r="J44" s="6"/>
      <c r="K44" s="7"/>
      <c r="L44" s="6"/>
      <c r="M44" s="6"/>
      <c r="N44" s="7"/>
      <c r="O44" s="204"/>
    </row>
    <row r="45" spans="1:17">
      <c r="A45" s="3"/>
      <c r="B45" s="8" t="s">
        <v>67</v>
      </c>
      <c r="C45" s="14">
        <v>10</v>
      </c>
      <c r="D45" s="15">
        <f>C45*0.94</f>
        <v>9.3999999999999986</v>
      </c>
      <c r="E45" s="10"/>
      <c r="F45" s="14">
        <v>10</v>
      </c>
      <c r="G45" s="15">
        <f>F45*0.94</f>
        <v>9.3999999999999986</v>
      </c>
      <c r="H45" s="10"/>
      <c r="I45" s="14">
        <v>10</v>
      </c>
      <c r="J45" s="15">
        <f>I45*0.94</f>
        <v>9.3999999999999986</v>
      </c>
      <c r="K45" s="10"/>
      <c r="L45" s="14">
        <v>10</v>
      </c>
      <c r="M45" s="15">
        <f>L45*0.94</f>
        <v>9.3999999999999986</v>
      </c>
      <c r="N45" s="203" t="e">
        <f>ROUND(AVERAGE(E45,H45,K45),0)</f>
        <v>#DIV/0!</v>
      </c>
      <c r="O45" s="202" t="e">
        <f>ROUND(M45*N45,2)</f>
        <v>#DIV/0!</v>
      </c>
    </row>
    <row r="46" spans="1:17">
      <c r="A46" s="3"/>
      <c r="B46" s="8" t="s">
        <v>68</v>
      </c>
      <c r="C46" s="14">
        <v>25</v>
      </c>
      <c r="D46" s="15">
        <f t="shared" ref="D46:D60" si="14">C46*0.94</f>
        <v>23.5</v>
      </c>
      <c r="E46" s="10"/>
      <c r="F46" s="14">
        <v>25</v>
      </c>
      <c r="G46" s="15">
        <f t="shared" ref="G46:G60" si="15">F46*0.94</f>
        <v>23.5</v>
      </c>
      <c r="H46" s="10"/>
      <c r="I46" s="14">
        <v>25</v>
      </c>
      <c r="J46" s="15">
        <f t="shared" ref="J46:J60" si="16">I46*0.94</f>
        <v>23.5</v>
      </c>
      <c r="K46" s="10"/>
      <c r="L46" s="14">
        <v>25</v>
      </c>
      <c r="M46" s="15">
        <f t="shared" ref="M46:M60" si="17">L46*0.94</f>
        <v>23.5</v>
      </c>
      <c r="N46" s="203" t="e">
        <f t="shared" ref="N46:N60" si="18">ROUND(AVERAGE(E46,H46,K46),0)</f>
        <v>#DIV/0!</v>
      </c>
      <c r="O46" s="202" t="e">
        <f t="shared" ref="O46:O60" si="19">ROUND(M46*N46,2)</f>
        <v>#DIV/0!</v>
      </c>
    </row>
    <row r="47" spans="1:17">
      <c r="A47" s="3"/>
      <c r="B47" s="8" t="s">
        <v>69</v>
      </c>
      <c r="C47" s="14">
        <v>40</v>
      </c>
      <c r="D47" s="15">
        <f t="shared" si="14"/>
        <v>37.599999999999994</v>
      </c>
      <c r="E47" s="10"/>
      <c r="F47" s="14">
        <v>40</v>
      </c>
      <c r="G47" s="15">
        <f t="shared" si="15"/>
        <v>37.599999999999994</v>
      </c>
      <c r="H47" s="10"/>
      <c r="I47" s="14">
        <v>40</v>
      </c>
      <c r="J47" s="15">
        <f t="shared" si="16"/>
        <v>37.599999999999994</v>
      </c>
      <c r="K47" s="10"/>
      <c r="L47" s="14">
        <v>40</v>
      </c>
      <c r="M47" s="15">
        <f t="shared" si="17"/>
        <v>37.599999999999994</v>
      </c>
      <c r="N47" s="203" t="e">
        <f t="shared" si="18"/>
        <v>#DIV/0!</v>
      </c>
      <c r="O47" s="202" t="e">
        <f t="shared" si="19"/>
        <v>#DIV/0!</v>
      </c>
    </row>
    <row r="48" spans="1:17">
      <c r="A48" s="3"/>
      <c r="B48" s="8" t="s">
        <v>66</v>
      </c>
      <c r="C48" s="14">
        <v>63</v>
      </c>
      <c r="D48" s="15">
        <f t="shared" si="14"/>
        <v>59.22</v>
      </c>
      <c r="E48" s="10"/>
      <c r="F48" s="14">
        <v>63</v>
      </c>
      <c r="G48" s="15">
        <f t="shared" si="15"/>
        <v>59.22</v>
      </c>
      <c r="H48" s="10"/>
      <c r="I48" s="14">
        <v>63</v>
      </c>
      <c r="J48" s="15">
        <f t="shared" si="16"/>
        <v>59.22</v>
      </c>
      <c r="K48" s="10"/>
      <c r="L48" s="14">
        <v>63</v>
      </c>
      <c r="M48" s="15">
        <f t="shared" si="17"/>
        <v>59.22</v>
      </c>
      <c r="N48" s="203" t="e">
        <f t="shared" si="18"/>
        <v>#DIV/0!</v>
      </c>
      <c r="O48" s="202" t="e">
        <f t="shared" si="19"/>
        <v>#DIV/0!</v>
      </c>
      <c r="P48" s="201" t="e">
        <f>SUM(N45:N48)</f>
        <v>#DIV/0!</v>
      </c>
      <c r="Q48" s="2" t="s">
        <v>119</v>
      </c>
    </row>
    <row r="49" spans="1:17">
      <c r="A49" s="3"/>
      <c r="B49" s="8" t="s">
        <v>55</v>
      </c>
      <c r="C49" s="14">
        <v>100</v>
      </c>
      <c r="D49" s="15">
        <f t="shared" si="14"/>
        <v>94</v>
      </c>
      <c r="E49" s="10"/>
      <c r="F49" s="14">
        <v>100</v>
      </c>
      <c r="G49" s="15">
        <f t="shared" si="15"/>
        <v>94</v>
      </c>
      <c r="H49" s="10"/>
      <c r="I49" s="14">
        <v>100</v>
      </c>
      <c r="J49" s="15">
        <f t="shared" si="16"/>
        <v>94</v>
      </c>
      <c r="K49" s="10"/>
      <c r="L49" s="14">
        <v>100</v>
      </c>
      <c r="M49" s="15">
        <f t="shared" si="17"/>
        <v>94</v>
      </c>
      <c r="N49" s="203" t="e">
        <f t="shared" si="18"/>
        <v>#DIV/0!</v>
      </c>
      <c r="O49" s="202" t="e">
        <f t="shared" si="19"/>
        <v>#DIV/0!</v>
      </c>
      <c r="P49" s="201" t="e">
        <f>N49</f>
        <v>#DIV/0!</v>
      </c>
    </row>
    <row r="50" spans="1:17">
      <c r="A50" s="3"/>
      <c r="B50" s="8" t="s">
        <v>56</v>
      </c>
      <c r="C50" s="14">
        <v>160</v>
      </c>
      <c r="D50" s="15">
        <f t="shared" si="14"/>
        <v>150.39999999999998</v>
      </c>
      <c r="E50" s="10"/>
      <c r="F50" s="14">
        <v>160</v>
      </c>
      <c r="G50" s="15">
        <f t="shared" si="15"/>
        <v>150.39999999999998</v>
      </c>
      <c r="H50" s="10"/>
      <c r="I50" s="14">
        <v>160</v>
      </c>
      <c r="J50" s="15">
        <f t="shared" si="16"/>
        <v>150.39999999999998</v>
      </c>
      <c r="K50" s="10"/>
      <c r="L50" s="14">
        <v>160</v>
      </c>
      <c r="M50" s="15">
        <f t="shared" si="17"/>
        <v>150.39999999999998</v>
      </c>
      <c r="N50" s="203" t="e">
        <f t="shared" si="18"/>
        <v>#DIV/0!</v>
      </c>
      <c r="O50" s="202" t="e">
        <f t="shared" si="19"/>
        <v>#DIV/0!</v>
      </c>
      <c r="P50" s="201" t="e">
        <f t="shared" ref="P50:P51" si="20">N50</f>
        <v>#DIV/0!</v>
      </c>
    </row>
    <row r="51" spans="1:17">
      <c r="A51" s="3"/>
      <c r="B51" s="8" t="s">
        <v>57</v>
      </c>
      <c r="C51" s="14">
        <v>250</v>
      </c>
      <c r="D51" s="15">
        <f t="shared" si="14"/>
        <v>235</v>
      </c>
      <c r="E51" s="10"/>
      <c r="F51" s="14">
        <v>250</v>
      </c>
      <c r="G51" s="15">
        <f t="shared" si="15"/>
        <v>235</v>
      </c>
      <c r="H51" s="10"/>
      <c r="I51" s="14">
        <v>250</v>
      </c>
      <c r="J51" s="15">
        <f t="shared" si="16"/>
        <v>235</v>
      </c>
      <c r="K51" s="10"/>
      <c r="L51" s="14">
        <v>250</v>
      </c>
      <c r="M51" s="15">
        <f t="shared" si="17"/>
        <v>235</v>
      </c>
      <c r="N51" s="203" t="e">
        <f t="shared" si="18"/>
        <v>#DIV/0!</v>
      </c>
      <c r="O51" s="202" t="e">
        <f t="shared" si="19"/>
        <v>#DIV/0!</v>
      </c>
      <c r="P51" s="201" t="e">
        <f t="shared" si="20"/>
        <v>#DIV/0!</v>
      </c>
    </row>
    <row r="52" spans="1:17">
      <c r="A52" s="3"/>
      <c r="B52" s="8" t="s">
        <v>70</v>
      </c>
      <c r="C52" s="14">
        <v>400</v>
      </c>
      <c r="D52" s="15">
        <f t="shared" si="14"/>
        <v>376</v>
      </c>
      <c r="E52" s="10"/>
      <c r="F52" s="14">
        <v>400</v>
      </c>
      <c r="G52" s="15">
        <f t="shared" si="15"/>
        <v>376</v>
      </c>
      <c r="H52" s="10"/>
      <c r="I52" s="14">
        <v>400</v>
      </c>
      <c r="J52" s="15">
        <f t="shared" si="16"/>
        <v>376</v>
      </c>
      <c r="K52" s="10"/>
      <c r="L52" s="14">
        <v>400</v>
      </c>
      <c r="M52" s="15">
        <f t="shared" si="17"/>
        <v>376</v>
      </c>
      <c r="N52" s="203" t="e">
        <f t="shared" si="18"/>
        <v>#DIV/0!</v>
      </c>
      <c r="O52" s="202" t="e">
        <f t="shared" si="19"/>
        <v>#DIV/0!</v>
      </c>
      <c r="P52" s="201" t="e">
        <f>SUM(N52:N54)</f>
        <v>#DIV/0!</v>
      </c>
      <c r="Q52" s="2" t="s">
        <v>120</v>
      </c>
    </row>
    <row r="53" spans="1:17">
      <c r="A53" s="3"/>
      <c r="B53" s="8" t="s">
        <v>71</v>
      </c>
      <c r="C53" s="14">
        <v>630</v>
      </c>
      <c r="D53" s="15">
        <f t="shared" si="14"/>
        <v>592.19999999999993</v>
      </c>
      <c r="E53" s="10"/>
      <c r="F53" s="14">
        <v>630</v>
      </c>
      <c r="G53" s="15">
        <f t="shared" si="15"/>
        <v>592.19999999999993</v>
      </c>
      <c r="H53" s="10"/>
      <c r="I53" s="14">
        <v>630</v>
      </c>
      <c r="J53" s="15">
        <f t="shared" si="16"/>
        <v>592.19999999999993</v>
      </c>
      <c r="K53" s="10"/>
      <c r="L53" s="14">
        <v>630</v>
      </c>
      <c r="M53" s="15">
        <f t="shared" si="17"/>
        <v>592.19999999999993</v>
      </c>
      <c r="N53" s="203" t="e">
        <f t="shared" si="18"/>
        <v>#DIV/0!</v>
      </c>
      <c r="O53" s="202" t="e">
        <f t="shared" si="19"/>
        <v>#DIV/0!</v>
      </c>
    </row>
    <row r="54" spans="1:17">
      <c r="A54" s="3"/>
      <c r="B54" s="9" t="s">
        <v>72</v>
      </c>
      <c r="C54" s="14">
        <v>1000</v>
      </c>
      <c r="D54" s="15">
        <f t="shared" si="14"/>
        <v>940</v>
      </c>
      <c r="E54" s="10"/>
      <c r="F54" s="14">
        <v>1000</v>
      </c>
      <c r="G54" s="15">
        <f t="shared" si="15"/>
        <v>940</v>
      </c>
      <c r="H54" s="10"/>
      <c r="I54" s="14">
        <v>1000</v>
      </c>
      <c r="J54" s="15">
        <f t="shared" si="16"/>
        <v>940</v>
      </c>
      <c r="K54" s="10"/>
      <c r="L54" s="14">
        <v>1000</v>
      </c>
      <c r="M54" s="15">
        <f t="shared" si="17"/>
        <v>940</v>
      </c>
      <c r="N54" s="203" t="e">
        <f t="shared" si="18"/>
        <v>#DIV/0!</v>
      </c>
      <c r="O54" s="202" t="e">
        <f t="shared" si="19"/>
        <v>#DIV/0!</v>
      </c>
    </row>
    <row r="55" spans="1:17">
      <c r="A55" s="3"/>
      <c r="B55" s="9" t="s">
        <v>75</v>
      </c>
      <c r="C55" s="14">
        <v>160</v>
      </c>
      <c r="D55" s="15">
        <f t="shared" si="14"/>
        <v>150.39999999999998</v>
      </c>
      <c r="E55" s="10"/>
      <c r="F55" s="14">
        <v>160</v>
      </c>
      <c r="G55" s="15">
        <f t="shared" si="15"/>
        <v>150.39999999999998</v>
      </c>
      <c r="H55" s="10"/>
      <c r="I55" s="14">
        <v>160</v>
      </c>
      <c r="J55" s="15">
        <f t="shared" si="16"/>
        <v>150.39999999999998</v>
      </c>
      <c r="K55" s="10"/>
      <c r="L55" s="14">
        <v>160</v>
      </c>
      <c r="M55" s="15">
        <f t="shared" si="17"/>
        <v>150.39999999999998</v>
      </c>
      <c r="N55" s="203" t="e">
        <f t="shared" si="18"/>
        <v>#DIV/0!</v>
      </c>
      <c r="O55" s="202" t="e">
        <f t="shared" si="19"/>
        <v>#DIV/0!</v>
      </c>
      <c r="P55" s="201" t="e">
        <f>N55</f>
        <v>#DIV/0!</v>
      </c>
    </row>
    <row r="56" spans="1:17">
      <c r="A56" s="3"/>
      <c r="B56" s="9" t="s">
        <v>76</v>
      </c>
      <c r="C56" s="14">
        <f>2*160</f>
        <v>320</v>
      </c>
      <c r="D56" s="15">
        <f t="shared" si="14"/>
        <v>300.79999999999995</v>
      </c>
      <c r="E56" s="10"/>
      <c r="F56" s="14">
        <f>2*160</f>
        <v>320</v>
      </c>
      <c r="G56" s="15">
        <f t="shared" si="15"/>
        <v>300.79999999999995</v>
      </c>
      <c r="H56" s="10"/>
      <c r="I56" s="14">
        <f>2*160</f>
        <v>320</v>
      </c>
      <c r="J56" s="15">
        <f t="shared" si="16"/>
        <v>300.79999999999995</v>
      </c>
      <c r="K56" s="10"/>
      <c r="L56" s="14">
        <f>2*160</f>
        <v>320</v>
      </c>
      <c r="M56" s="15">
        <f t="shared" si="17"/>
        <v>300.79999999999995</v>
      </c>
      <c r="N56" s="203" t="e">
        <f t="shared" si="18"/>
        <v>#DIV/0!</v>
      </c>
      <c r="O56" s="202" t="e">
        <f t="shared" si="19"/>
        <v>#DIV/0!</v>
      </c>
      <c r="P56" s="201" t="e">
        <f>N56</f>
        <v>#DIV/0!</v>
      </c>
    </row>
    <row r="57" spans="1:17">
      <c r="A57" s="3"/>
      <c r="B57" s="9" t="s">
        <v>93</v>
      </c>
      <c r="C57" s="14">
        <f>2*250</f>
        <v>500</v>
      </c>
      <c r="D57" s="15">
        <f t="shared" si="14"/>
        <v>470</v>
      </c>
      <c r="E57" s="71"/>
      <c r="F57" s="14">
        <f>2*250</f>
        <v>500</v>
      </c>
      <c r="G57" s="15">
        <f t="shared" si="15"/>
        <v>470</v>
      </c>
      <c r="H57" s="71"/>
      <c r="I57" s="14">
        <f>2*250</f>
        <v>500</v>
      </c>
      <c r="J57" s="15">
        <f t="shared" si="16"/>
        <v>470</v>
      </c>
      <c r="K57" s="71"/>
      <c r="L57" s="14">
        <f>2*250</f>
        <v>500</v>
      </c>
      <c r="M57" s="15">
        <f t="shared" si="17"/>
        <v>470</v>
      </c>
      <c r="N57" s="203" t="e">
        <f t="shared" si="18"/>
        <v>#DIV/0!</v>
      </c>
      <c r="O57" s="202" t="e">
        <f t="shared" si="19"/>
        <v>#DIV/0!</v>
      </c>
    </row>
    <row r="58" spans="1:17">
      <c r="A58" s="3"/>
      <c r="B58" s="9" t="s">
        <v>94</v>
      </c>
      <c r="C58" s="14">
        <f>2*400</f>
        <v>800</v>
      </c>
      <c r="D58" s="15">
        <f t="shared" si="14"/>
        <v>752</v>
      </c>
      <c r="E58" s="71"/>
      <c r="F58" s="14">
        <f>2*400</f>
        <v>800</v>
      </c>
      <c r="G58" s="15">
        <f t="shared" si="15"/>
        <v>752</v>
      </c>
      <c r="H58" s="71"/>
      <c r="I58" s="14">
        <f>2*400</f>
        <v>800</v>
      </c>
      <c r="J58" s="15">
        <f t="shared" si="16"/>
        <v>752</v>
      </c>
      <c r="K58" s="71"/>
      <c r="L58" s="14">
        <f>2*400</f>
        <v>800</v>
      </c>
      <c r="M58" s="15">
        <f t="shared" si="17"/>
        <v>752</v>
      </c>
      <c r="N58" s="203" t="e">
        <f t="shared" si="18"/>
        <v>#DIV/0!</v>
      </c>
      <c r="O58" s="202" t="e">
        <f t="shared" si="19"/>
        <v>#DIV/0!</v>
      </c>
    </row>
    <row r="59" spans="1:17">
      <c r="A59" s="3"/>
      <c r="B59" s="9" t="s">
        <v>95</v>
      </c>
      <c r="C59" s="14">
        <f>2*630</f>
        <v>1260</v>
      </c>
      <c r="D59" s="15">
        <f t="shared" si="14"/>
        <v>1184.3999999999999</v>
      </c>
      <c r="E59" s="71"/>
      <c r="F59" s="14">
        <f>2*630</f>
        <v>1260</v>
      </c>
      <c r="G59" s="15">
        <f t="shared" si="15"/>
        <v>1184.3999999999999</v>
      </c>
      <c r="H59" s="71"/>
      <c r="I59" s="14">
        <f>2*630</f>
        <v>1260</v>
      </c>
      <c r="J59" s="15">
        <f t="shared" si="16"/>
        <v>1184.3999999999999</v>
      </c>
      <c r="K59" s="71"/>
      <c r="L59" s="14">
        <f>2*630</f>
        <v>1260</v>
      </c>
      <c r="M59" s="15">
        <f t="shared" si="17"/>
        <v>1184.3999999999999</v>
      </c>
      <c r="N59" s="203" t="e">
        <f t="shared" si="18"/>
        <v>#DIV/0!</v>
      </c>
      <c r="O59" s="202" t="e">
        <f t="shared" si="19"/>
        <v>#DIV/0!</v>
      </c>
    </row>
    <row r="60" spans="1:17">
      <c r="A60" s="3"/>
      <c r="B60" s="9" t="s">
        <v>96</v>
      </c>
      <c r="C60" s="14">
        <f>2*1000</f>
        <v>2000</v>
      </c>
      <c r="D60" s="15">
        <f t="shared" si="14"/>
        <v>1880</v>
      </c>
      <c r="E60" s="71"/>
      <c r="F60" s="14">
        <f>2*1000</f>
        <v>2000</v>
      </c>
      <c r="G60" s="15">
        <f t="shared" si="15"/>
        <v>1880</v>
      </c>
      <c r="H60" s="71"/>
      <c r="I60" s="14">
        <f>2*1000</f>
        <v>2000</v>
      </c>
      <c r="J60" s="15">
        <f t="shared" si="16"/>
        <v>1880</v>
      </c>
      <c r="K60" s="71"/>
      <c r="L60" s="14">
        <f>2*1000</f>
        <v>2000</v>
      </c>
      <c r="M60" s="15">
        <f t="shared" si="17"/>
        <v>1880</v>
      </c>
      <c r="N60" s="203" t="e">
        <f t="shared" si="18"/>
        <v>#DIV/0!</v>
      </c>
      <c r="O60" s="202" t="e">
        <f t="shared" si="19"/>
        <v>#DIV/0!</v>
      </c>
    </row>
    <row r="61" spans="1:17">
      <c r="A61" s="3"/>
      <c r="B61" s="12" t="s">
        <v>60</v>
      </c>
      <c r="C61" s="6"/>
      <c r="D61" s="6"/>
      <c r="E61" s="7"/>
      <c r="F61" s="6"/>
      <c r="G61" s="6"/>
      <c r="H61" s="7"/>
      <c r="I61" s="6"/>
      <c r="J61" s="6"/>
      <c r="K61" s="7"/>
      <c r="L61" s="6"/>
      <c r="M61" s="6"/>
      <c r="N61" s="7"/>
      <c r="O61" s="204"/>
    </row>
    <row r="62" spans="1:17">
      <c r="A62" s="3"/>
      <c r="B62" s="8" t="s">
        <v>67</v>
      </c>
      <c r="C62" s="14">
        <v>10</v>
      </c>
      <c r="D62" s="11">
        <f>C62*0.94</f>
        <v>9.3999999999999986</v>
      </c>
      <c r="E62" s="10"/>
      <c r="F62" s="14">
        <v>10</v>
      </c>
      <c r="G62" s="11">
        <f>F62*0.94</f>
        <v>9.3999999999999986</v>
      </c>
      <c r="H62" s="10"/>
      <c r="I62" s="14">
        <v>10</v>
      </c>
      <c r="J62" s="11">
        <f>I62*0.94</f>
        <v>9.3999999999999986</v>
      </c>
      <c r="K62" s="10"/>
      <c r="L62" s="14">
        <v>10</v>
      </c>
      <c r="M62" s="11">
        <f>L62*0.94</f>
        <v>9.3999999999999986</v>
      </c>
      <c r="N62" s="203" t="e">
        <f>ROUND(AVERAGE(E62,H62,K62),0)</f>
        <v>#DIV/0!</v>
      </c>
      <c r="O62" s="202" t="e">
        <f>ROUND(M62*N62,2)</f>
        <v>#DIV/0!</v>
      </c>
    </row>
    <row r="63" spans="1:17">
      <c r="A63" s="3"/>
      <c r="B63" s="8" t="s">
        <v>68</v>
      </c>
      <c r="C63" s="14">
        <v>25</v>
      </c>
      <c r="D63" s="11">
        <f t="shared" ref="D63:D77" si="21">C63*0.94</f>
        <v>23.5</v>
      </c>
      <c r="E63" s="10"/>
      <c r="F63" s="14">
        <v>25</v>
      </c>
      <c r="G63" s="11">
        <f t="shared" ref="G63:G77" si="22">F63*0.94</f>
        <v>23.5</v>
      </c>
      <c r="H63" s="10"/>
      <c r="I63" s="14">
        <v>25</v>
      </c>
      <c r="J63" s="11">
        <f t="shared" ref="J63:J77" si="23">I63*0.94</f>
        <v>23.5</v>
      </c>
      <c r="K63" s="10"/>
      <c r="L63" s="14">
        <v>25</v>
      </c>
      <c r="M63" s="11">
        <f t="shared" ref="M63:M77" si="24">L63*0.94</f>
        <v>23.5</v>
      </c>
      <c r="N63" s="203" t="e">
        <f t="shared" ref="N63:N77" si="25">ROUND(AVERAGE(E63,H63,K63),0)</f>
        <v>#DIV/0!</v>
      </c>
      <c r="O63" s="202" t="e">
        <f t="shared" ref="O63:O77" si="26">ROUND(M63*N63,2)</f>
        <v>#DIV/0!</v>
      </c>
    </row>
    <row r="64" spans="1:17">
      <c r="A64" s="3"/>
      <c r="B64" s="8" t="s">
        <v>69</v>
      </c>
      <c r="C64" s="14">
        <v>40</v>
      </c>
      <c r="D64" s="11">
        <f t="shared" si="21"/>
        <v>37.599999999999994</v>
      </c>
      <c r="E64" s="10"/>
      <c r="F64" s="14">
        <v>40</v>
      </c>
      <c r="G64" s="11">
        <f t="shared" si="22"/>
        <v>37.599999999999994</v>
      </c>
      <c r="H64" s="10"/>
      <c r="I64" s="14">
        <v>40</v>
      </c>
      <c r="J64" s="11">
        <f t="shared" si="23"/>
        <v>37.599999999999994</v>
      </c>
      <c r="K64" s="10"/>
      <c r="L64" s="14">
        <v>40</v>
      </c>
      <c r="M64" s="11">
        <f t="shared" si="24"/>
        <v>37.599999999999994</v>
      </c>
      <c r="N64" s="203" t="e">
        <f t="shared" si="25"/>
        <v>#DIV/0!</v>
      </c>
      <c r="O64" s="202" t="e">
        <f t="shared" si="26"/>
        <v>#DIV/0!</v>
      </c>
    </row>
    <row r="65" spans="1:17">
      <c r="A65" s="3"/>
      <c r="B65" s="8" t="s">
        <v>66</v>
      </c>
      <c r="C65" s="14">
        <v>63</v>
      </c>
      <c r="D65" s="11">
        <f t="shared" si="21"/>
        <v>59.22</v>
      </c>
      <c r="E65" s="10"/>
      <c r="F65" s="14">
        <v>63</v>
      </c>
      <c r="G65" s="11">
        <f t="shared" si="22"/>
        <v>59.22</v>
      </c>
      <c r="H65" s="10"/>
      <c r="I65" s="14">
        <v>63</v>
      </c>
      <c r="J65" s="11">
        <f t="shared" si="23"/>
        <v>59.22</v>
      </c>
      <c r="K65" s="10"/>
      <c r="L65" s="14">
        <v>63</v>
      </c>
      <c r="M65" s="11">
        <f t="shared" si="24"/>
        <v>59.22</v>
      </c>
      <c r="N65" s="203" t="e">
        <f t="shared" si="25"/>
        <v>#DIV/0!</v>
      </c>
      <c r="O65" s="202" t="e">
        <f t="shared" si="26"/>
        <v>#DIV/0!</v>
      </c>
      <c r="P65" s="201" t="e">
        <f>SUM(N62:N65)</f>
        <v>#DIV/0!</v>
      </c>
      <c r="Q65" s="2" t="s">
        <v>119</v>
      </c>
    </row>
    <row r="66" spans="1:17">
      <c r="A66" s="3"/>
      <c r="B66" s="8" t="s">
        <v>55</v>
      </c>
      <c r="C66" s="14">
        <v>100</v>
      </c>
      <c r="D66" s="11">
        <f t="shared" si="21"/>
        <v>94</v>
      </c>
      <c r="E66" s="10"/>
      <c r="F66" s="14">
        <v>100</v>
      </c>
      <c r="G66" s="11">
        <f t="shared" si="22"/>
        <v>94</v>
      </c>
      <c r="H66" s="10"/>
      <c r="I66" s="14">
        <v>100</v>
      </c>
      <c r="J66" s="11">
        <f t="shared" si="23"/>
        <v>94</v>
      </c>
      <c r="K66" s="10"/>
      <c r="L66" s="14">
        <v>100</v>
      </c>
      <c r="M66" s="11">
        <f t="shared" si="24"/>
        <v>94</v>
      </c>
      <c r="N66" s="203" t="e">
        <f t="shared" si="25"/>
        <v>#DIV/0!</v>
      </c>
      <c r="O66" s="202" t="e">
        <f t="shared" si="26"/>
        <v>#DIV/0!</v>
      </c>
      <c r="P66" s="201" t="e">
        <f>N66</f>
        <v>#DIV/0!</v>
      </c>
    </row>
    <row r="67" spans="1:17">
      <c r="A67" s="3"/>
      <c r="B67" s="8" t="s">
        <v>56</v>
      </c>
      <c r="C67" s="14">
        <v>160</v>
      </c>
      <c r="D67" s="11">
        <f t="shared" si="21"/>
        <v>150.39999999999998</v>
      </c>
      <c r="E67" s="10"/>
      <c r="F67" s="14">
        <v>160</v>
      </c>
      <c r="G67" s="11">
        <f t="shared" si="22"/>
        <v>150.39999999999998</v>
      </c>
      <c r="H67" s="10"/>
      <c r="I67" s="14">
        <v>160</v>
      </c>
      <c r="J67" s="11">
        <f t="shared" si="23"/>
        <v>150.39999999999998</v>
      </c>
      <c r="K67" s="10"/>
      <c r="L67" s="14">
        <v>160</v>
      </c>
      <c r="M67" s="11">
        <f t="shared" si="24"/>
        <v>150.39999999999998</v>
      </c>
      <c r="N67" s="203" t="e">
        <f t="shared" si="25"/>
        <v>#DIV/0!</v>
      </c>
      <c r="O67" s="202" t="e">
        <f t="shared" si="26"/>
        <v>#DIV/0!</v>
      </c>
      <c r="P67" s="201" t="e">
        <f t="shared" ref="P67:P68" si="27">N67</f>
        <v>#DIV/0!</v>
      </c>
    </row>
    <row r="68" spans="1:17">
      <c r="A68" s="3"/>
      <c r="B68" s="8" t="s">
        <v>57</v>
      </c>
      <c r="C68" s="14">
        <v>250</v>
      </c>
      <c r="D68" s="11">
        <f t="shared" si="21"/>
        <v>235</v>
      </c>
      <c r="E68" s="10"/>
      <c r="F68" s="14">
        <v>250</v>
      </c>
      <c r="G68" s="11">
        <f t="shared" si="22"/>
        <v>235</v>
      </c>
      <c r="H68" s="10"/>
      <c r="I68" s="14">
        <v>250</v>
      </c>
      <c r="J68" s="11">
        <f t="shared" si="23"/>
        <v>235</v>
      </c>
      <c r="K68" s="10"/>
      <c r="L68" s="14">
        <v>250</v>
      </c>
      <c r="M68" s="11">
        <f t="shared" si="24"/>
        <v>235</v>
      </c>
      <c r="N68" s="203" t="e">
        <f t="shared" si="25"/>
        <v>#DIV/0!</v>
      </c>
      <c r="O68" s="202" t="e">
        <f t="shared" si="26"/>
        <v>#DIV/0!</v>
      </c>
      <c r="P68" s="201" t="e">
        <f t="shared" si="27"/>
        <v>#DIV/0!</v>
      </c>
    </row>
    <row r="69" spans="1:17">
      <c r="A69" s="3"/>
      <c r="B69" s="8" t="s">
        <v>70</v>
      </c>
      <c r="C69" s="14">
        <v>400</v>
      </c>
      <c r="D69" s="11">
        <f t="shared" si="21"/>
        <v>376</v>
      </c>
      <c r="E69" s="10"/>
      <c r="F69" s="14">
        <v>400</v>
      </c>
      <c r="G69" s="11">
        <f t="shared" si="22"/>
        <v>376</v>
      </c>
      <c r="H69" s="10"/>
      <c r="I69" s="14">
        <v>400</v>
      </c>
      <c r="J69" s="11">
        <f t="shared" si="23"/>
        <v>376</v>
      </c>
      <c r="K69" s="10"/>
      <c r="L69" s="14">
        <v>400</v>
      </c>
      <c r="M69" s="11">
        <f t="shared" si="24"/>
        <v>376</v>
      </c>
      <c r="N69" s="203" t="e">
        <f t="shared" si="25"/>
        <v>#DIV/0!</v>
      </c>
      <c r="O69" s="202" t="e">
        <f t="shared" si="26"/>
        <v>#DIV/0!</v>
      </c>
      <c r="P69" s="201" t="e">
        <f>SUM(N69:N71)</f>
        <v>#DIV/0!</v>
      </c>
      <c r="Q69" s="2" t="s">
        <v>120</v>
      </c>
    </row>
    <row r="70" spans="1:17">
      <c r="A70" s="3"/>
      <c r="B70" s="8" t="s">
        <v>71</v>
      </c>
      <c r="C70" s="14">
        <v>630</v>
      </c>
      <c r="D70" s="11">
        <f t="shared" si="21"/>
        <v>592.19999999999993</v>
      </c>
      <c r="E70" s="10"/>
      <c r="F70" s="14">
        <v>630</v>
      </c>
      <c r="G70" s="11">
        <f t="shared" si="22"/>
        <v>592.19999999999993</v>
      </c>
      <c r="H70" s="10"/>
      <c r="I70" s="14">
        <v>630</v>
      </c>
      <c r="J70" s="11">
        <f t="shared" si="23"/>
        <v>592.19999999999993</v>
      </c>
      <c r="K70" s="10"/>
      <c r="L70" s="14">
        <v>630</v>
      </c>
      <c r="M70" s="11">
        <f t="shared" si="24"/>
        <v>592.19999999999993</v>
      </c>
      <c r="N70" s="203" t="e">
        <f t="shared" si="25"/>
        <v>#DIV/0!</v>
      </c>
      <c r="O70" s="202" t="e">
        <f t="shared" si="26"/>
        <v>#DIV/0!</v>
      </c>
    </row>
    <row r="71" spans="1:17">
      <c r="A71" s="3"/>
      <c r="B71" s="9" t="s">
        <v>72</v>
      </c>
      <c r="C71" s="14">
        <v>1000</v>
      </c>
      <c r="D71" s="11">
        <f t="shared" si="21"/>
        <v>940</v>
      </c>
      <c r="E71" s="10"/>
      <c r="F71" s="14">
        <v>1000</v>
      </c>
      <c r="G71" s="11">
        <f t="shared" si="22"/>
        <v>940</v>
      </c>
      <c r="H71" s="10"/>
      <c r="I71" s="14">
        <v>1000</v>
      </c>
      <c r="J71" s="11">
        <f t="shared" si="23"/>
        <v>940</v>
      </c>
      <c r="K71" s="10"/>
      <c r="L71" s="14">
        <v>1000</v>
      </c>
      <c r="M71" s="11">
        <f t="shared" si="24"/>
        <v>940</v>
      </c>
      <c r="N71" s="203" t="e">
        <f t="shared" si="25"/>
        <v>#DIV/0!</v>
      </c>
      <c r="O71" s="202" t="e">
        <f t="shared" si="26"/>
        <v>#DIV/0!</v>
      </c>
    </row>
    <row r="72" spans="1:17">
      <c r="A72" s="3"/>
      <c r="B72" s="9" t="s">
        <v>75</v>
      </c>
      <c r="C72" s="14">
        <v>160</v>
      </c>
      <c r="D72" s="11">
        <f t="shared" si="21"/>
        <v>150.39999999999998</v>
      </c>
      <c r="E72" s="10"/>
      <c r="F72" s="14">
        <v>160</v>
      </c>
      <c r="G72" s="11">
        <f t="shared" si="22"/>
        <v>150.39999999999998</v>
      </c>
      <c r="H72" s="10"/>
      <c r="I72" s="14">
        <v>160</v>
      </c>
      <c r="J72" s="11">
        <f t="shared" si="23"/>
        <v>150.39999999999998</v>
      </c>
      <c r="K72" s="10"/>
      <c r="L72" s="14">
        <v>160</v>
      </c>
      <c r="M72" s="11">
        <f t="shared" si="24"/>
        <v>150.39999999999998</v>
      </c>
      <c r="N72" s="203" t="e">
        <f t="shared" si="25"/>
        <v>#DIV/0!</v>
      </c>
      <c r="O72" s="202" t="e">
        <f t="shared" si="26"/>
        <v>#DIV/0!</v>
      </c>
      <c r="P72" s="201" t="e">
        <f>N72</f>
        <v>#DIV/0!</v>
      </c>
    </row>
    <row r="73" spans="1:17">
      <c r="A73" s="3"/>
      <c r="B73" s="9" t="s">
        <v>76</v>
      </c>
      <c r="C73" s="14">
        <f>2*160</f>
        <v>320</v>
      </c>
      <c r="D73" s="11">
        <f t="shared" si="21"/>
        <v>300.79999999999995</v>
      </c>
      <c r="E73" s="10"/>
      <c r="F73" s="14">
        <f>2*160</f>
        <v>320</v>
      </c>
      <c r="G73" s="11">
        <f t="shared" si="22"/>
        <v>300.79999999999995</v>
      </c>
      <c r="H73" s="10"/>
      <c r="I73" s="14">
        <f>2*160</f>
        <v>320</v>
      </c>
      <c r="J73" s="11">
        <f t="shared" si="23"/>
        <v>300.79999999999995</v>
      </c>
      <c r="K73" s="10"/>
      <c r="L73" s="14">
        <f>2*160</f>
        <v>320</v>
      </c>
      <c r="M73" s="11">
        <f t="shared" si="24"/>
        <v>300.79999999999995</v>
      </c>
      <c r="N73" s="203" t="e">
        <f t="shared" si="25"/>
        <v>#DIV/0!</v>
      </c>
      <c r="O73" s="202" t="e">
        <f t="shared" si="26"/>
        <v>#DIV/0!</v>
      </c>
      <c r="P73" s="201" t="e">
        <f>N73</f>
        <v>#DIV/0!</v>
      </c>
    </row>
    <row r="74" spans="1:17">
      <c r="A74" s="3"/>
      <c r="B74" s="9" t="s">
        <v>93</v>
      </c>
      <c r="C74" s="14">
        <f>2*250</f>
        <v>500</v>
      </c>
      <c r="D74" s="15">
        <f t="shared" si="21"/>
        <v>470</v>
      </c>
      <c r="E74" s="71"/>
      <c r="F74" s="14">
        <f>2*250</f>
        <v>500</v>
      </c>
      <c r="G74" s="15">
        <f t="shared" si="22"/>
        <v>470</v>
      </c>
      <c r="H74" s="71"/>
      <c r="I74" s="14">
        <f>2*250</f>
        <v>500</v>
      </c>
      <c r="J74" s="15">
        <f t="shared" si="23"/>
        <v>470</v>
      </c>
      <c r="K74" s="71"/>
      <c r="L74" s="14">
        <f>2*250</f>
        <v>500</v>
      </c>
      <c r="M74" s="15">
        <f t="shared" si="24"/>
        <v>470</v>
      </c>
      <c r="N74" s="203" t="e">
        <f t="shared" si="25"/>
        <v>#DIV/0!</v>
      </c>
      <c r="O74" s="202" t="e">
        <f t="shared" si="26"/>
        <v>#DIV/0!</v>
      </c>
    </row>
    <row r="75" spans="1:17">
      <c r="A75" s="3"/>
      <c r="B75" s="9" t="s">
        <v>94</v>
      </c>
      <c r="C75" s="14">
        <f>2*400</f>
        <v>800</v>
      </c>
      <c r="D75" s="15">
        <f t="shared" si="21"/>
        <v>752</v>
      </c>
      <c r="E75" s="71"/>
      <c r="F75" s="14">
        <f>2*400</f>
        <v>800</v>
      </c>
      <c r="G75" s="15">
        <f t="shared" si="22"/>
        <v>752</v>
      </c>
      <c r="H75" s="71"/>
      <c r="I75" s="14">
        <f>2*400</f>
        <v>800</v>
      </c>
      <c r="J75" s="15">
        <f t="shared" si="23"/>
        <v>752</v>
      </c>
      <c r="K75" s="71"/>
      <c r="L75" s="14">
        <f>2*400</f>
        <v>800</v>
      </c>
      <c r="M75" s="15">
        <f t="shared" si="24"/>
        <v>752</v>
      </c>
      <c r="N75" s="203" t="e">
        <f t="shared" si="25"/>
        <v>#DIV/0!</v>
      </c>
      <c r="O75" s="202" t="e">
        <f t="shared" si="26"/>
        <v>#DIV/0!</v>
      </c>
    </row>
    <row r="76" spans="1:17">
      <c r="A76" s="3"/>
      <c r="B76" s="9" t="s">
        <v>95</v>
      </c>
      <c r="C76" s="14">
        <f>2*630</f>
        <v>1260</v>
      </c>
      <c r="D76" s="15">
        <f t="shared" si="21"/>
        <v>1184.3999999999999</v>
      </c>
      <c r="E76" s="71"/>
      <c r="F76" s="14">
        <f>2*630</f>
        <v>1260</v>
      </c>
      <c r="G76" s="15">
        <f t="shared" si="22"/>
        <v>1184.3999999999999</v>
      </c>
      <c r="H76" s="71"/>
      <c r="I76" s="14">
        <f>2*630</f>
        <v>1260</v>
      </c>
      <c r="J76" s="15">
        <f t="shared" si="23"/>
        <v>1184.3999999999999</v>
      </c>
      <c r="K76" s="71"/>
      <c r="L76" s="14">
        <f>2*630</f>
        <v>1260</v>
      </c>
      <c r="M76" s="15">
        <f t="shared" si="24"/>
        <v>1184.3999999999999</v>
      </c>
      <c r="N76" s="10" t="e">
        <f t="shared" si="25"/>
        <v>#DIV/0!</v>
      </c>
      <c r="O76" s="202" t="e">
        <f t="shared" si="26"/>
        <v>#DIV/0!</v>
      </c>
    </row>
    <row r="77" spans="1:17">
      <c r="A77" s="3"/>
      <c r="B77" s="9" t="s">
        <v>96</v>
      </c>
      <c r="C77" s="14">
        <f>2*1000</f>
        <v>2000</v>
      </c>
      <c r="D77" s="15">
        <f t="shared" si="21"/>
        <v>1880</v>
      </c>
      <c r="E77" s="71"/>
      <c r="F77" s="14">
        <f>2*1000</f>
        <v>2000</v>
      </c>
      <c r="G77" s="15">
        <f t="shared" si="22"/>
        <v>1880</v>
      </c>
      <c r="H77" s="71"/>
      <c r="I77" s="14">
        <f>2*1000</f>
        <v>2000</v>
      </c>
      <c r="J77" s="15">
        <f t="shared" si="23"/>
        <v>1880</v>
      </c>
      <c r="K77" s="71"/>
      <c r="L77" s="14">
        <f>2*1000</f>
        <v>2000</v>
      </c>
      <c r="M77" s="15">
        <f t="shared" si="24"/>
        <v>1880</v>
      </c>
      <c r="N77" s="10" t="e">
        <f t="shared" si="25"/>
        <v>#DIV/0!</v>
      </c>
      <c r="O77" s="202" t="e">
        <f t="shared" si="26"/>
        <v>#DIV/0!</v>
      </c>
    </row>
    <row r="80" spans="1:17">
      <c r="B80" s="2" t="s">
        <v>6</v>
      </c>
    </row>
    <row r="81" spans="2:2">
      <c r="B81" s="2" t="s">
        <v>7</v>
      </c>
    </row>
  </sheetData>
  <mergeCells count="10">
    <mergeCell ref="L8:O8"/>
    <mergeCell ref="L4:O4"/>
    <mergeCell ref="I5:J5"/>
    <mergeCell ref="L5:M5"/>
    <mergeCell ref="B4:B6"/>
    <mergeCell ref="I4:K4"/>
    <mergeCell ref="C4:E4"/>
    <mergeCell ref="C5:D5"/>
    <mergeCell ref="F4:H4"/>
    <mergeCell ref="F5:G5"/>
  </mergeCells>
  <pageMargins left="0.7" right="0.7" top="0.75" bottom="0.75" header="0.3" footer="0.3"/>
  <pageSetup paperSize="9" scale="3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34"/>
  <sheetViews>
    <sheetView view="pageBreakPreview" zoomScale="85" zoomScaleNormal="85" zoomScaleSheetLayoutView="85" workbookViewId="0">
      <selection activeCell="B2" sqref="B2"/>
    </sheetView>
  </sheetViews>
  <sheetFormatPr defaultRowHeight="12" outlineLevelCol="1"/>
  <cols>
    <col min="1" max="1" width="2.85546875" style="146" customWidth="1"/>
    <col min="2" max="2" width="4.85546875" style="146" customWidth="1"/>
    <col min="3" max="3" width="15.28515625" style="147" customWidth="1"/>
    <col min="4" max="4" width="15.28515625" style="180" customWidth="1"/>
    <col min="5" max="5" width="40.140625" style="146" customWidth="1"/>
    <col min="6" max="6" width="17.140625" style="179" customWidth="1"/>
    <col min="7" max="7" width="17.140625" style="179" customWidth="1" outlineLevel="1"/>
    <col min="8" max="8" width="14.5703125" style="150" customWidth="1" outlineLevel="1"/>
    <col min="9" max="14" width="12" style="150" customWidth="1" outlineLevel="1"/>
    <col min="15" max="15" width="24" style="146" customWidth="1"/>
    <col min="16" max="16" width="9.140625" style="146"/>
    <col min="17" max="17" width="12.85546875" style="146" customWidth="1"/>
    <col min="18" max="18" width="12.28515625" style="146" customWidth="1"/>
    <col min="19" max="16384" width="9.140625" style="146"/>
  </cols>
  <sheetData>
    <row r="1" spans="2:19" ht="25.5" customHeight="1">
      <c r="O1" s="179"/>
    </row>
    <row r="2" spans="2:19">
      <c r="B2" s="207" t="s">
        <v>215</v>
      </c>
      <c r="C2" s="207"/>
      <c r="D2" s="207"/>
      <c r="E2" s="207"/>
      <c r="F2" s="207"/>
      <c r="G2" s="207"/>
      <c r="H2" s="180"/>
      <c r="I2" s="180"/>
      <c r="J2" s="180"/>
      <c r="K2" s="180"/>
      <c r="L2" s="180"/>
      <c r="M2" s="180"/>
      <c r="N2" s="180"/>
    </row>
    <row r="3" spans="2:19">
      <c r="B3" s="152" t="str">
        <f>'1_до 15 кВт'!B7</f>
        <v>ООО "Метэк"</v>
      </c>
      <c r="C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2:19">
      <c r="B4" s="166" t="s">
        <v>194</v>
      </c>
      <c r="C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2:19" ht="21.75" customHeight="1"/>
    <row r="6" spans="2:19" ht="64.5" customHeight="1">
      <c r="B6" s="267" t="s">
        <v>171</v>
      </c>
      <c r="C6" s="267" t="s">
        <v>172</v>
      </c>
      <c r="D6" s="267"/>
      <c r="E6" s="267" t="s">
        <v>193</v>
      </c>
      <c r="F6" s="266" t="s">
        <v>174</v>
      </c>
      <c r="G6" s="266"/>
      <c r="H6" s="268" t="s">
        <v>197</v>
      </c>
      <c r="I6" s="269"/>
      <c r="J6" s="269"/>
      <c r="K6" s="269"/>
      <c r="L6" s="269"/>
      <c r="M6" s="269"/>
      <c r="N6" s="270"/>
      <c r="O6" s="260" t="s">
        <v>211</v>
      </c>
    </row>
    <row r="7" spans="2:19" ht="102" customHeight="1">
      <c r="B7" s="267"/>
      <c r="C7" s="263" t="s">
        <v>192</v>
      </c>
      <c r="D7" s="264" t="s">
        <v>110</v>
      </c>
      <c r="E7" s="267"/>
      <c r="F7" s="266" t="s">
        <v>178</v>
      </c>
      <c r="G7" s="266" t="s">
        <v>179</v>
      </c>
      <c r="H7" s="267" t="s">
        <v>198</v>
      </c>
      <c r="I7" s="267"/>
      <c r="J7" s="267" t="s">
        <v>201</v>
      </c>
      <c r="K7" s="267"/>
      <c r="L7" s="267" t="s">
        <v>188</v>
      </c>
      <c r="M7" s="267"/>
      <c r="N7" s="264" t="s">
        <v>203</v>
      </c>
      <c r="O7" s="261"/>
    </row>
    <row r="8" spans="2:19" ht="12.75" customHeight="1">
      <c r="B8" s="267"/>
      <c r="C8" s="263"/>
      <c r="D8" s="265"/>
      <c r="E8" s="267"/>
      <c r="F8" s="266"/>
      <c r="G8" s="266"/>
      <c r="H8" s="178" t="s">
        <v>199</v>
      </c>
      <c r="I8" s="178" t="s">
        <v>200</v>
      </c>
      <c r="J8" s="178" t="s">
        <v>199</v>
      </c>
      <c r="K8" s="178" t="s">
        <v>200</v>
      </c>
      <c r="L8" s="178" t="s">
        <v>202</v>
      </c>
      <c r="M8" s="178" t="s">
        <v>81</v>
      </c>
      <c r="N8" s="265"/>
      <c r="O8" s="262"/>
      <c r="Q8" s="196"/>
    </row>
    <row r="9" spans="2:19" ht="12.75" customHeight="1">
      <c r="B9" s="271" t="s">
        <v>195</v>
      </c>
      <c r="C9" s="272"/>
      <c r="D9" s="272"/>
      <c r="E9" s="272"/>
      <c r="F9" s="174">
        <f>SUM(F10:F15)</f>
        <v>0</v>
      </c>
      <c r="G9" s="174">
        <f>SUM(G10:G15)</f>
        <v>0</v>
      </c>
      <c r="H9" s="174">
        <f>ROUND(SUM(H10:H15),3)</f>
        <v>0</v>
      </c>
      <c r="I9" s="174">
        <f t="shared" ref="I9:K9" si="0">ROUND(SUM(I10:I15),3)</f>
        <v>0</v>
      </c>
      <c r="J9" s="174">
        <f t="shared" si="0"/>
        <v>0</v>
      </c>
      <c r="K9" s="174">
        <f t="shared" si="0"/>
        <v>0</v>
      </c>
      <c r="L9" s="189"/>
      <c r="M9" s="189"/>
      <c r="N9" s="174">
        <f>ROUND(SUM(N10:N15),0)</f>
        <v>0</v>
      </c>
      <c r="O9" s="190"/>
      <c r="Q9" s="196"/>
    </row>
    <row r="10" spans="2:19" s="153" customFormat="1">
      <c r="B10" s="154">
        <v>1</v>
      </c>
      <c r="C10" s="168"/>
      <c r="D10" s="171"/>
      <c r="E10" s="169"/>
      <c r="F10" s="170"/>
      <c r="G10" s="170"/>
      <c r="H10" s="171"/>
      <c r="I10" s="171"/>
      <c r="J10" s="171"/>
      <c r="K10" s="171"/>
      <c r="L10" s="171"/>
      <c r="M10" s="171"/>
      <c r="N10" s="171"/>
      <c r="O10" s="172"/>
      <c r="Q10" s="196"/>
    </row>
    <row r="11" spans="2:19" s="153" customFormat="1">
      <c r="B11" s="154">
        <v>2</v>
      </c>
      <c r="C11" s="168"/>
      <c r="D11" s="169"/>
      <c r="E11" s="169"/>
      <c r="F11" s="170"/>
      <c r="G11" s="170"/>
      <c r="H11" s="171"/>
      <c r="I11" s="171"/>
      <c r="J11" s="171"/>
      <c r="K11" s="171"/>
      <c r="L11" s="171"/>
      <c r="M11" s="171"/>
      <c r="N11" s="171"/>
      <c r="O11" s="172"/>
      <c r="Q11" s="196"/>
    </row>
    <row r="12" spans="2:19" s="153" customFormat="1">
      <c r="B12" s="154">
        <v>3</v>
      </c>
      <c r="C12" s="168"/>
      <c r="D12" s="169"/>
      <c r="E12" s="169"/>
      <c r="F12" s="170"/>
      <c r="G12" s="170"/>
      <c r="H12" s="171"/>
      <c r="I12" s="171"/>
      <c r="J12" s="171"/>
      <c r="K12" s="171"/>
      <c r="L12" s="171"/>
      <c r="M12" s="171"/>
      <c r="N12" s="171"/>
      <c r="O12" s="172"/>
      <c r="Q12" s="196"/>
    </row>
    <row r="13" spans="2:19" s="153" customFormat="1">
      <c r="B13" s="154">
        <v>4</v>
      </c>
      <c r="C13" s="168"/>
      <c r="D13" s="169"/>
      <c r="E13" s="169"/>
      <c r="F13" s="173"/>
      <c r="G13" s="170"/>
      <c r="H13" s="171"/>
      <c r="I13" s="171"/>
      <c r="J13" s="171"/>
      <c r="K13" s="171"/>
      <c r="L13" s="171"/>
      <c r="M13" s="171"/>
      <c r="N13" s="171"/>
      <c r="O13" s="172"/>
      <c r="Q13" s="196"/>
      <c r="R13" s="155"/>
      <c r="S13" s="155"/>
    </row>
    <row r="14" spans="2:19" s="153" customFormat="1">
      <c r="B14" s="154">
        <v>5</v>
      </c>
      <c r="C14" s="168"/>
      <c r="D14" s="169"/>
      <c r="E14" s="169"/>
      <c r="F14" s="170"/>
      <c r="G14" s="170"/>
      <c r="H14" s="171"/>
      <c r="I14" s="171"/>
      <c r="J14" s="171"/>
      <c r="K14" s="171"/>
      <c r="L14" s="171"/>
      <c r="M14" s="171"/>
      <c r="N14" s="171"/>
      <c r="O14" s="172"/>
      <c r="Q14" s="196"/>
      <c r="R14" s="155"/>
      <c r="S14" s="155"/>
    </row>
    <row r="15" spans="2:19" s="153" customFormat="1">
      <c r="B15" s="167" t="s">
        <v>185</v>
      </c>
      <c r="C15" s="168"/>
      <c r="D15" s="169"/>
      <c r="E15" s="169"/>
      <c r="F15" s="170"/>
      <c r="G15" s="170"/>
      <c r="H15" s="171"/>
      <c r="I15" s="171"/>
      <c r="J15" s="171"/>
      <c r="K15" s="171"/>
      <c r="L15" s="171"/>
      <c r="M15" s="171"/>
      <c r="N15" s="171"/>
      <c r="O15" s="172"/>
      <c r="Q15" s="155"/>
      <c r="R15" s="155"/>
      <c r="S15" s="155"/>
    </row>
    <row r="16" spans="2:19" s="153" customFormat="1" ht="23.25" customHeight="1">
      <c r="B16" s="271" t="s">
        <v>196</v>
      </c>
      <c r="C16" s="272"/>
      <c r="D16" s="272"/>
      <c r="E16" s="272"/>
      <c r="F16" s="174">
        <f>SUM(F17:F21)</f>
        <v>0</v>
      </c>
      <c r="G16" s="174">
        <f>SUM(G17:G21)</f>
        <v>0</v>
      </c>
      <c r="H16" s="174">
        <f>ROUND(SUM(H17:H22),3)</f>
        <v>0</v>
      </c>
      <c r="I16" s="174">
        <f>ROUND(SUM(I17:I22),3)</f>
        <v>0</v>
      </c>
      <c r="J16" s="174">
        <f t="shared" ref="J16" si="1">ROUND(SUM(J17:J22),3)</f>
        <v>0</v>
      </c>
      <c r="K16" s="174">
        <f t="shared" ref="K16" si="2">ROUND(SUM(K17:K22),3)</f>
        <v>0</v>
      </c>
      <c r="L16" s="189"/>
      <c r="M16" s="189"/>
      <c r="N16" s="174">
        <f>ROUND(SUM(N17:N22),0)</f>
        <v>0</v>
      </c>
      <c r="O16" s="176"/>
      <c r="Q16" s="155"/>
      <c r="R16" s="155"/>
      <c r="S16" s="155"/>
    </row>
    <row r="17" spans="2:39" s="153" customFormat="1">
      <c r="B17" s="154">
        <v>1</v>
      </c>
      <c r="C17" s="168"/>
      <c r="D17" s="169"/>
      <c r="E17" s="169"/>
      <c r="F17" s="170"/>
      <c r="G17" s="170"/>
      <c r="H17" s="171"/>
      <c r="I17" s="171"/>
      <c r="J17" s="171"/>
      <c r="K17" s="171"/>
      <c r="L17" s="171"/>
      <c r="M17" s="171"/>
      <c r="N17" s="171"/>
      <c r="O17" s="172"/>
      <c r="Q17" s="155"/>
      <c r="R17" s="155"/>
      <c r="S17" s="155"/>
    </row>
    <row r="18" spans="2:39" s="153" customFormat="1">
      <c r="B18" s="154">
        <v>2</v>
      </c>
      <c r="C18" s="168"/>
      <c r="D18" s="169"/>
      <c r="E18" s="169"/>
      <c r="F18" s="170"/>
      <c r="G18" s="170"/>
      <c r="H18" s="171"/>
      <c r="I18" s="171"/>
      <c r="J18" s="171"/>
      <c r="K18" s="171"/>
      <c r="L18" s="171"/>
      <c r="M18" s="171"/>
      <c r="N18" s="171"/>
      <c r="O18" s="172"/>
      <c r="Q18" s="155"/>
      <c r="R18" s="155"/>
      <c r="S18" s="155"/>
      <c r="AM18" s="153" t="s">
        <v>180</v>
      </c>
    </row>
    <row r="19" spans="2:39" s="153" customFormat="1">
      <c r="B19" s="154">
        <v>3</v>
      </c>
      <c r="C19" s="168"/>
      <c r="D19" s="169"/>
      <c r="E19" s="169"/>
      <c r="F19" s="170"/>
      <c r="G19" s="170"/>
      <c r="H19" s="171"/>
      <c r="I19" s="171"/>
      <c r="J19" s="171"/>
      <c r="K19" s="171"/>
      <c r="L19" s="171"/>
      <c r="M19" s="171"/>
      <c r="N19" s="171"/>
      <c r="O19" s="172"/>
      <c r="Q19" s="155"/>
      <c r="R19" s="155"/>
      <c r="S19" s="155"/>
    </row>
    <row r="20" spans="2:39" s="153" customFormat="1">
      <c r="B20" s="154">
        <v>4</v>
      </c>
      <c r="C20" s="168"/>
      <c r="D20" s="169"/>
      <c r="E20" s="169"/>
      <c r="F20" s="170"/>
      <c r="G20" s="170"/>
      <c r="H20" s="171"/>
      <c r="I20" s="171"/>
      <c r="J20" s="171"/>
      <c r="K20" s="171"/>
      <c r="L20" s="171"/>
      <c r="M20" s="171"/>
      <c r="N20" s="171"/>
      <c r="O20" s="172"/>
      <c r="Q20" s="155"/>
      <c r="R20" s="155"/>
      <c r="S20" s="155"/>
    </row>
    <row r="21" spans="2:39" s="153" customFormat="1">
      <c r="B21" s="154">
        <v>5</v>
      </c>
      <c r="C21" s="168"/>
      <c r="D21" s="169"/>
      <c r="E21" s="169"/>
      <c r="F21" s="170"/>
      <c r="G21" s="170"/>
      <c r="H21" s="171"/>
      <c r="I21" s="171"/>
      <c r="J21" s="171"/>
      <c r="K21" s="171"/>
      <c r="L21" s="171"/>
      <c r="M21" s="171"/>
      <c r="N21" s="171"/>
      <c r="O21" s="172"/>
      <c r="Q21" s="155"/>
      <c r="R21" s="155"/>
      <c r="S21" s="155"/>
    </row>
    <row r="22" spans="2:39" s="153" customFormat="1">
      <c r="B22" s="167" t="s">
        <v>185</v>
      </c>
      <c r="C22" s="168"/>
      <c r="D22" s="169"/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2"/>
      <c r="Q22" s="155"/>
      <c r="R22" s="155"/>
      <c r="S22" s="155"/>
    </row>
    <row r="23" spans="2:39" s="153" customFormat="1">
      <c r="B23" s="155"/>
      <c r="C23" s="156"/>
      <c r="D23" s="157"/>
      <c r="E23" s="155"/>
      <c r="F23" s="158"/>
      <c r="G23" s="158"/>
      <c r="H23" s="195"/>
      <c r="I23" s="195"/>
      <c r="J23" s="195"/>
      <c r="K23" s="195"/>
      <c r="L23" s="195"/>
      <c r="M23" s="195"/>
      <c r="N23" s="195"/>
      <c r="O23" s="155"/>
    </row>
    <row r="24" spans="2:39" s="153" customFormat="1">
      <c r="B24" s="155"/>
      <c r="C24" s="156"/>
      <c r="D24" s="157"/>
      <c r="F24" s="158"/>
      <c r="G24" s="158"/>
      <c r="H24" s="208"/>
      <c r="I24" s="208"/>
      <c r="J24" s="208"/>
      <c r="K24" s="208"/>
      <c r="L24" s="208"/>
      <c r="M24" s="208"/>
      <c r="N24" s="208"/>
      <c r="O24" s="155"/>
    </row>
    <row r="25" spans="2:39" s="153" customFormat="1">
      <c r="C25" s="160"/>
      <c r="D25" s="157"/>
      <c r="F25" s="161"/>
      <c r="G25" s="161"/>
      <c r="H25" s="208"/>
      <c r="I25" s="208"/>
      <c r="J25" s="208"/>
      <c r="K25" s="208"/>
      <c r="L25" s="208"/>
      <c r="M25" s="208"/>
      <c r="N25" s="208"/>
    </row>
    <row r="26" spans="2:39" s="153" customFormat="1">
      <c r="B26" s="161"/>
      <c r="C26" s="160"/>
      <c r="D26" s="163"/>
      <c r="F26" s="161"/>
      <c r="G26" s="161"/>
      <c r="H26" s="208"/>
      <c r="I26" s="208"/>
      <c r="J26" s="208"/>
      <c r="K26" s="208"/>
      <c r="L26" s="208"/>
      <c r="M26" s="208"/>
      <c r="N26" s="208"/>
    </row>
    <row r="27" spans="2:39" s="153" customFormat="1">
      <c r="B27" s="161"/>
      <c r="C27" s="164"/>
      <c r="D27" s="163"/>
      <c r="F27" s="161"/>
      <c r="G27" s="161"/>
      <c r="H27" s="208"/>
      <c r="I27" s="208"/>
      <c r="J27" s="208"/>
      <c r="K27" s="208"/>
      <c r="L27" s="208"/>
      <c r="M27" s="208"/>
      <c r="N27" s="208"/>
    </row>
    <row r="28" spans="2:39">
      <c r="H28" s="208"/>
      <c r="I28" s="208"/>
      <c r="J28" s="208"/>
      <c r="K28" s="208"/>
      <c r="L28" s="208"/>
      <c r="M28" s="208"/>
      <c r="N28" s="208"/>
    </row>
    <row r="29" spans="2:39">
      <c r="H29" s="208"/>
      <c r="I29" s="208"/>
      <c r="J29" s="208"/>
      <c r="K29" s="208"/>
      <c r="L29" s="208"/>
      <c r="M29" s="208"/>
      <c r="N29" s="208"/>
    </row>
    <row r="30" spans="2:39">
      <c r="H30" s="159"/>
      <c r="I30" s="159"/>
      <c r="J30" s="159"/>
      <c r="K30" s="159"/>
      <c r="L30" s="159"/>
      <c r="M30" s="159"/>
      <c r="N30" s="159"/>
    </row>
    <row r="31" spans="2:39">
      <c r="H31" s="159"/>
      <c r="I31" s="159"/>
      <c r="J31" s="159"/>
      <c r="K31" s="159"/>
      <c r="L31" s="159"/>
      <c r="M31" s="159"/>
      <c r="N31" s="159"/>
    </row>
    <row r="32" spans="2:39">
      <c r="H32" s="162"/>
      <c r="I32" s="162"/>
      <c r="J32" s="162"/>
      <c r="K32" s="162"/>
      <c r="L32" s="162"/>
      <c r="M32" s="162"/>
      <c r="N32" s="162"/>
    </row>
    <row r="33" spans="8:14">
      <c r="H33" s="162"/>
      <c r="I33" s="162"/>
      <c r="J33" s="162"/>
      <c r="K33" s="162"/>
      <c r="L33" s="162"/>
      <c r="M33" s="162"/>
      <c r="N33" s="162"/>
    </row>
    <row r="34" spans="8:14">
      <c r="H34" s="162"/>
      <c r="I34" s="162"/>
      <c r="J34" s="162"/>
      <c r="K34" s="162"/>
      <c r="L34" s="162"/>
      <c r="M34" s="162"/>
      <c r="N34" s="162"/>
    </row>
  </sheetData>
  <mergeCells count="16">
    <mergeCell ref="B9:E9"/>
    <mergeCell ref="B16:E16"/>
    <mergeCell ref="H7:I7"/>
    <mergeCell ref="J7:K7"/>
    <mergeCell ref="L7:M7"/>
    <mergeCell ref="B6:B8"/>
    <mergeCell ref="O6:O8"/>
    <mergeCell ref="C7:C8"/>
    <mergeCell ref="D7:D8"/>
    <mergeCell ref="F7:F8"/>
    <mergeCell ref="G7:G8"/>
    <mergeCell ref="C6:D6"/>
    <mergeCell ref="E6:E8"/>
    <mergeCell ref="F6:G6"/>
    <mergeCell ref="H6:N6"/>
    <mergeCell ref="N7:N8"/>
  </mergeCells>
  <dataValidations count="1">
    <dataValidation type="list" allowBlank="1" showInputMessage="1" showErrorMessage="1" sqref="L10:L15 L17:L22">
      <formula1>"КТП-63 и меньше,КТП-100,КТП-160,КТП-250,КТП-400 и больше,БКТП-160,БКТП-2х160"</formula1>
    </dataValidation>
  </dataValidations>
  <pageMargins left="0.26" right="0.17" top="0.45" bottom="0.36" header="0.16" footer="0.15"/>
  <pageSetup paperSize="9" scale="64" fitToHeight="0" orientation="landscape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P34"/>
  <sheetViews>
    <sheetView tabSelected="1" view="pageBreakPreview" zoomScale="80" zoomScaleNormal="70" zoomScaleSheetLayoutView="80" workbookViewId="0">
      <selection activeCell="L25" sqref="L25"/>
    </sheetView>
  </sheetViews>
  <sheetFormatPr defaultRowHeight="12" outlineLevelCol="1"/>
  <cols>
    <col min="1" max="1" width="2.85546875" style="146" customWidth="1"/>
    <col min="2" max="2" width="4.85546875" style="146" customWidth="1"/>
    <col min="3" max="3" width="13.28515625" style="147" customWidth="1"/>
    <col min="4" max="4" width="14.42578125" style="148" customWidth="1"/>
    <col min="5" max="5" width="24" style="146" customWidth="1"/>
    <col min="6" max="6" width="31.140625" style="146" customWidth="1"/>
    <col min="7" max="8" width="12.28515625" style="146" customWidth="1"/>
    <col min="9" max="9" width="8.85546875" style="149" customWidth="1"/>
    <col min="10" max="10" width="8.85546875" style="149" customWidth="1" outlineLevel="1"/>
    <col min="11" max="11" width="19.140625" style="187" customWidth="1" outlineLevel="1"/>
    <col min="12" max="12" width="14.5703125" style="150" customWidth="1" outlineLevel="1"/>
    <col min="13" max="17" width="13.85546875" style="150" customWidth="1" outlineLevel="1"/>
    <col min="18" max="18" width="18" style="149" customWidth="1"/>
    <col min="19" max="19" width="9.140625" style="146"/>
    <col min="20" max="20" width="12.85546875" style="146" customWidth="1"/>
    <col min="21" max="21" width="12.28515625" style="146" customWidth="1"/>
    <col min="22" max="16384" width="9.140625" style="146"/>
  </cols>
  <sheetData>
    <row r="1" spans="2:22" ht="25.5" customHeight="1">
      <c r="R1" s="187"/>
    </row>
    <row r="2" spans="2:22">
      <c r="B2" s="273" t="s">
        <v>214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180"/>
      <c r="N2" s="151"/>
      <c r="O2" s="151"/>
      <c r="P2" s="151"/>
      <c r="Q2" s="151"/>
    </row>
    <row r="3" spans="2:22">
      <c r="B3" s="152" t="str">
        <f>'1_до 15 кВт'!B7</f>
        <v>ООО "Метэк"</v>
      </c>
      <c r="C3" s="148"/>
      <c r="E3" s="148"/>
      <c r="F3" s="148"/>
      <c r="G3" s="148"/>
      <c r="H3" s="188"/>
      <c r="I3" s="148"/>
      <c r="J3" s="148"/>
      <c r="K3" s="188"/>
      <c r="L3" s="148"/>
      <c r="M3" s="180"/>
      <c r="N3" s="151"/>
      <c r="O3" s="151"/>
      <c r="P3" s="151"/>
      <c r="Q3" s="151"/>
    </row>
    <row r="4" spans="2:22">
      <c r="B4" s="166" t="s">
        <v>184</v>
      </c>
      <c r="C4" s="148"/>
      <c r="E4" s="148"/>
      <c r="F4" s="148"/>
      <c r="G4" s="148"/>
      <c r="H4" s="188"/>
      <c r="I4" s="148"/>
      <c r="J4" s="148"/>
      <c r="K4" s="188"/>
      <c r="L4" s="148"/>
      <c r="M4" s="180"/>
      <c r="N4" s="151"/>
      <c r="O4" s="151"/>
      <c r="P4" s="151"/>
      <c r="Q4" s="151"/>
    </row>
    <row r="5" spans="2:22" ht="21.75" customHeight="1"/>
    <row r="6" spans="2:22" ht="64.5" customHeight="1">
      <c r="B6" s="267" t="s">
        <v>171</v>
      </c>
      <c r="C6" s="267" t="s">
        <v>172</v>
      </c>
      <c r="D6" s="267"/>
      <c r="E6" s="267" t="s">
        <v>173</v>
      </c>
      <c r="F6" s="267" t="s">
        <v>210</v>
      </c>
      <c r="G6" s="274" t="s">
        <v>187</v>
      </c>
      <c r="H6" s="278" t="s">
        <v>216</v>
      </c>
      <c r="I6" s="266" t="s">
        <v>212</v>
      </c>
      <c r="J6" s="266"/>
      <c r="K6" s="275" t="s">
        <v>213</v>
      </c>
      <c r="L6" s="268" t="s">
        <v>175</v>
      </c>
      <c r="M6" s="269"/>
      <c r="N6" s="269"/>
      <c r="O6" s="269"/>
      <c r="P6" s="269"/>
      <c r="Q6" s="270"/>
      <c r="R6" s="267" t="s">
        <v>176</v>
      </c>
    </row>
    <row r="7" spans="2:22" ht="102" customHeight="1">
      <c r="B7" s="267"/>
      <c r="C7" s="263" t="s">
        <v>177</v>
      </c>
      <c r="D7" s="264" t="s">
        <v>110</v>
      </c>
      <c r="E7" s="267"/>
      <c r="F7" s="267"/>
      <c r="G7" s="274"/>
      <c r="H7" s="279"/>
      <c r="I7" s="266" t="s">
        <v>178</v>
      </c>
      <c r="J7" s="266" t="s">
        <v>179</v>
      </c>
      <c r="K7" s="276"/>
      <c r="L7" s="267" t="s">
        <v>190</v>
      </c>
      <c r="M7" s="264" t="s">
        <v>191</v>
      </c>
      <c r="N7" s="264" t="s">
        <v>85</v>
      </c>
      <c r="O7" s="264" t="s">
        <v>86</v>
      </c>
      <c r="P7" s="264" t="s">
        <v>188</v>
      </c>
      <c r="Q7" s="264" t="s">
        <v>189</v>
      </c>
      <c r="R7" s="267"/>
    </row>
    <row r="8" spans="2:22" ht="12.75" customHeight="1">
      <c r="B8" s="267"/>
      <c r="C8" s="263"/>
      <c r="D8" s="265"/>
      <c r="E8" s="267"/>
      <c r="F8" s="267"/>
      <c r="G8" s="274"/>
      <c r="H8" s="280"/>
      <c r="I8" s="266"/>
      <c r="J8" s="266"/>
      <c r="K8" s="277"/>
      <c r="L8" s="267"/>
      <c r="M8" s="265"/>
      <c r="N8" s="265"/>
      <c r="O8" s="265"/>
      <c r="P8" s="265"/>
      <c r="Q8" s="265"/>
      <c r="R8" s="267"/>
    </row>
    <row r="9" spans="2:22" ht="12.75" customHeight="1">
      <c r="B9" s="281" t="s">
        <v>159</v>
      </c>
      <c r="C9" s="282"/>
      <c r="D9" s="282"/>
      <c r="E9" s="282"/>
      <c r="F9" s="282"/>
      <c r="G9" s="282"/>
      <c r="H9" s="283"/>
      <c r="I9" s="174">
        <f>SUM(I10,I17,I24)</f>
        <v>15</v>
      </c>
      <c r="J9" s="174">
        <f>SUM(J10,J17,J24)</f>
        <v>15</v>
      </c>
      <c r="K9" s="189"/>
      <c r="L9" s="174">
        <f>SUM(M9:Q9)</f>
        <v>43755</v>
      </c>
      <c r="M9" s="174">
        <f>SUM(M10,M17,M24)</f>
        <v>43755</v>
      </c>
      <c r="N9" s="174">
        <f t="shared" ref="N9:Q9" si="0">SUM(N10,N17,N24)</f>
        <v>0</v>
      </c>
      <c r="O9" s="174">
        <f t="shared" si="0"/>
        <v>0</v>
      </c>
      <c r="P9" s="174">
        <f>SUM(P10,P17,P24)</f>
        <v>0</v>
      </c>
      <c r="Q9" s="174">
        <f t="shared" si="0"/>
        <v>0</v>
      </c>
      <c r="R9" s="178"/>
    </row>
    <row r="10" spans="2:22" ht="12.75" customHeight="1">
      <c r="B10" s="271" t="s">
        <v>181</v>
      </c>
      <c r="C10" s="272"/>
      <c r="D10" s="272"/>
      <c r="E10" s="272"/>
      <c r="F10" s="272"/>
      <c r="G10" s="272"/>
      <c r="H10" s="284"/>
      <c r="I10" s="174">
        <f>SUM(I11:I16)</f>
        <v>0</v>
      </c>
      <c r="J10" s="174">
        <f>SUM(J11:J16)</f>
        <v>0</v>
      </c>
      <c r="K10" s="189"/>
      <c r="L10" s="174">
        <f>SUM(L11:L16)</f>
        <v>0</v>
      </c>
      <c r="M10" s="174">
        <f>SUM(M11:M16)</f>
        <v>0</v>
      </c>
      <c r="N10" s="174">
        <f>SUM(N11:N16)</f>
        <v>0</v>
      </c>
      <c r="O10" s="174">
        <f t="shared" ref="O10:Q10" si="1">SUM(O11:O16)</f>
        <v>0</v>
      </c>
      <c r="P10" s="174">
        <f t="shared" si="1"/>
        <v>0</v>
      </c>
      <c r="Q10" s="174">
        <f t="shared" si="1"/>
        <v>0</v>
      </c>
      <c r="R10" s="189"/>
    </row>
    <row r="11" spans="2:22" s="153" customFormat="1" ht="37.5" customHeight="1">
      <c r="B11" s="154">
        <v>1</v>
      </c>
      <c r="C11" s="168"/>
      <c r="D11" s="171"/>
      <c r="E11" s="169"/>
      <c r="F11" s="169"/>
      <c r="G11" s="169"/>
      <c r="H11" s="169"/>
      <c r="I11" s="170"/>
      <c r="J11" s="170"/>
      <c r="K11" s="213"/>
      <c r="L11" s="171"/>
      <c r="M11" s="171"/>
      <c r="N11" s="171"/>
      <c r="O11" s="171"/>
      <c r="P11" s="171"/>
      <c r="Q11" s="171"/>
      <c r="R11" s="171"/>
    </row>
    <row r="12" spans="2:22" s="153" customFormat="1">
      <c r="B12" s="154">
        <v>2</v>
      </c>
      <c r="C12" s="168"/>
      <c r="D12" s="169"/>
      <c r="E12" s="169"/>
      <c r="F12" s="169"/>
      <c r="G12" s="169"/>
      <c r="H12" s="169"/>
      <c r="I12" s="170"/>
      <c r="J12" s="170"/>
      <c r="K12" s="170"/>
      <c r="L12" s="171">
        <f t="shared" ref="L12:L16" si="2">SUM(M12:Q12)</f>
        <v>0</v>
      </c>
      <c r="M12" s="171"/>
      <c r="N12" s="171"/>
      <c r="O12" s="171"/>
      <c r="P12" s="171"/>
      <c r="Q12" s="171"/>
      <c r="R12" s="171"/>
    </row>
    <row r="13" spans="2:22" s="153" customFormat="1">
      <c r="B13" s="154">
        <v>3</v>
      </c>
      <c r="C13" s="168"/>
      <c r="D13" s="169"/>
      <c r="E13" s="169"/>
      <c r="F13" s="169"/>
      <c r="G13" s="169"/>
      <c r="H13" s="169"/>
      <c r="I13" s="170"/>
      <c r="J13" s="170"/>
      <c r="K13" s="170"/>
      <c r="L13" s="171">
        <f t="shared" si="2"/>
        <v>0</v>
      </c>
      <c r="M13" s="171"/>
      <c r="N13" s="171"/>
      <c r="O13" s="171"/>
      <c r="P13" s="171"/>
      <c r="Q13" s="171"/>
      <c r="R13" s="171"/>
    </row>
    <row r="14" spans="2:22" s="153" customFormat="1">
      <c r="B14" s="154">
        <v>4</v>
      </c>
      <c r="C14" s="168"/>
      <c r="D14" s="169"/>
      <c r="E14" s="169"/>
      <c r="F14" s="169"/>
      <c r="G14" s="169"/>
      <c r="H14" s="169"/>
      <c r="I14" s="173"/>
      <c r="J14" s="170"/>
      <c r="K14" s="170"/>
      <c r="L14" s="171">
        <f t="shared" si="2"/>
        <v>0</v>
      </c>
      <c r="M14" s="171"/>
      <c r="N14" s="171"/>
      <c r="O14" s="171"/>
      <c r="P14" s="171"/>
      <c r="Q14" s="171"/>
      <c r="R14" s="171"/>
      <c r="T14" s="155"/>
      <c r="U14" s="155"/>
      <c r="V14" s="155"/>
    </row>
    <row r="15" spans="2:22" s="153" customFormat="1">
      <c r="B15" s="154">
        <v>5</v>
      </c>
      <c r="C15" s="168"/>
      <c r="D15" s="169"/>
      <c r="E15" s="169"/>
      <c r="F15" s="169"/>
      <c r="G15" s="169"/>
      <c r="H15" s="169"/>
      <c r="I15" s="170"/>
      <c r="J15" s="170"/>
      <c r="K15" s="170"/>
      <c r="L15" s="171">
        <f t="shared" si="2"/>
        <v>0</v>
      </c>
      <c r="M15" s="171"/>
      <c r="N15" s="171"/>
      <c r="O15" s="171"/>
      <c r="P15" s="171"/>
      <c r="Q15" s="171"/>
      <c r="R15" s="171"/>
      <c r="T15" s="155"/>
      <c r="U15" s="155"/>
      <c r="V15" s="155"/>
    </row>
    <row r="16" spans="2:22" s="153" customFormat="1">
      <c r="B16" s="167" t="s">
        <v>185</v>
      </c>
      <c r="C16" s="168"/>
      <c r="D16" s="169"/>
      <c r="E16" s="169"/>
      <c r="F16" s="169"/>
      <c r="G16" s="169"/>
      <c r="H16" s="169"/>
      <c r="I16" s="170"/>
      <c r="J16" s="170"/>
      <c r="K16" s="170"/>
      <c r="L16" s="171">
        <f t="shared" si="2"/>
        <v>0</v>
      </c>
      <c r="M16" s="171"/>
      <c r="N16" s="171"/>
      <c r="O16" s="171"/>
      <c r="P16" s="171"/>
      <c r="Q16" s="171"/>
      <c r="R16" s="171"/>
      <c r="T16" s="155"/>
      <c r="U16" s="155"/>
      <c r="V16" s="155"/>
    </row>
    <row r="17" spans="2:42" s="153" customFormat="1" ht="23.25" customHeight="1">
      <c r="B17" s="271" t="s">
        <v>182</v>
      </c>
      <c r="C17" s="272"/>
      <c r="D17" s="272"/>
      <c r="E17" s="272"/>
      <c r="F17" s="272"/>
      <c r="G17" s="272"/>
      <c r="H17" s="284"/>
      <c r="I17" s="174">
        <f>SUM(I18:I22)</f>
        <v>0</v>
      </c>
      <c r="J17" s="174">
        <f>SUM(J18:J22)</f>
        <v>0</v>
      </c>
      <c r="K17" s="174"/>
      <c r="L17" s="174">
        <f>SUM(L18:L22)</f>
        <v>0</v>
      </c>
      <c r="M17" s="174">
        <f>SUM(M18:M23)</f>
        <v>0</v>
      </c>
      <c r="N17" s="174">
        <f>SUM(N18:N23)</f>
        <v>0</v>
      </c>
      <c r="O17" s="174">
        <f t="shared" ref="O17" si="3">SUM(O18:O23)</f>
        <v>0</v>
      </c>
      <c r="P17" s="174">
        <f t="shared" ref="P17" si="4">SUM(P18:P23)</f>
        <v>0</v>
      </c>
      <c r="Q17" s="174">
        <f t="shared" ref="Q17" si="5">SUM(Q18:Q23)</f>
        <v>0</v>
      </c>
      <c r="R17" s="175"/>
      <c r="T17" s="155"/>
      <c r="U17" s="155"/>
      <c r="V17" s="155"/>
    </row>
    <row r="18" spans="2:42" s="153" customFormat="1">
      <c r="B18" s="154">
        <v>1</v>
      </c>
      <c r="C18" s="168"/>
      <c r="D18" s="169"/>
      <c r="E18" s="169"/>
      <c r="F18" s="169"/>
      <c r="G18" s="169"/>
      <c r="H18" s="169"/>
      <c r="I18" s="170"/>
      <c r="J18" s="170"/>
      <c r="K18" s="170"/>
      <c r="L18" s="171">
        <f>SUM(M18:Q18)</f>
        <v>0</v>
      </c>
      <c r="M18" s="171"/>
      <c r="N18" s="171"/>
      <c r="O18" s="171"/>
      <c r="P18" s="171"/>
      <c r="Q18" s="171"/>
      <c r="R18" s="171"/>
      <c r="T18" s="155"/>
      <c r="U18" s="155"/>
      <c r="V18" s="155"/>
    </row>
    <row r="19" spans="2:42" s="153" customFormat="1">
      <c r="B19" s="154">
        <v>2</v>
      </c>
      <c r="C19" s="168"/>
      <c r="D19" s="169"/>
      <c r="E19" s="169"/>
      <c r="F19" s="169"/>
      <c r="G19" s="169"/>
      <c r="H19" s="169"/>
      <c r="I19" s="170"/>
      <c r="J19" s="170"/>
      <c r="K19" s="170"/>
      <c r="L19" s="171">
        <f t="shared" ref="L19:L23" si="6">SUM(M19:Q19)</f>
        <v>0</v>
      </c>
      <c r="M19" s="171"/>
      <c r="N19" s="171"/>
      <c r="O19" s="171"/>
      <c r="P19" s="171"/>
      <c r="Q19" s="171"/>
      <c r="R19" s="171"/>
      <c r="T19" s="155"/>
      <c r="U19" s="155"/>
      <c r="V19" s="155"/>
      <c r="AP19" s="153" t="s">
        <v>180</v>
      </c>
    </row>
    <row r="20" spans="2:42" s="153" customFormat="1">
      <c r="B20" s="154">
        <v>3</v>
      </c>
      <c r="C20" s="168"/>
      <c r="D20" s="169"/>
      <c r="E20" s="169"/>
      <c r="F20" s="169"/>
      <c r="G20" s="169"/>
      <c r="H20" s="169"/>
      <c r="I20" s="170"/>
      <c r="J20" s="170"/>
      <c r="K20" s="170"/>
      <c r="L20" s="171">
        <f t="shared" si="6"/>
        <v>0</v>
      </c>
      <c r="M20" s="171"/>
      <c r="N20" s="171"/>
      <c r="O20" s="171"/>
      <c r="P20" s="171"/>
      <c r="Q20" s="171"/>
      <c r="R20" s="171"/>
      <c r="T20" s="155"/>
      <c r="U20" s="155"/>
      <c r="V20" s="155"/>
    </row>
    <row r="21" spans="2:42" s="153" customFormat="1">
      <c r="B21" s="154">
        <v>4</v>
      </c>
      <c r="C21" s="168"/>
      <c r="D21" s="169"/>
      <c r="E21" s="169"/>
      <c r="F21" s="169"/>
      <c r="G21" s="169"/>
      <c r="H21" s="169"/>
      <c r="I21" s="170"/>
      <c r="J21" s="170"/>
      <c r="K21" s="170"/>
      <c r="L21" s="171">
        <f t="shared" si="6"/>
        <v>0</v>
      </c>
      <c r="M21" s="171"/>
      <c r="N21" s="171"/>
      <c r="O21" s="171"/>
      <c r="P21" s="171"/>
      <c r="Q21" s="171"/>
      <c r="R21" s="171"/>
      <c r="T21" s="155"/>
      <c r="U21" s="155"/>
      <c r="V21" s="155"/>
    </row>
    <row r="22" spans="2:42" s="153" customFormat="1">
      <c r="B22" s="154">
        <v>5</v>
      </c>
      <c r="C22" s="168"/>
      <c r="D22" s="169"/>
      <c r="E22" s="169"/>
      <c r="F22" s="169"/>
      <c r="G22" s="169"/>
      <c r="H22" s="169"/>
      <c r="I22" s="170"/>
      <c r="J22" s="170"/>
      <c r="K22" s="170"/>
      <c r="L22" s="171">
        <f t="shared" si="6"/>
        <v>0</v>
      </c>
      <c r="M22" s="171"/>
      <c r="N22" s="171"/>
      <c r="O22" s="171"/>
      <c r="P22" s="171"/>
      <c r="Q22" s="171"/>
      <c r="R22" s="171"/>
      <c r="T22" s="155"/>
      <c r="U22" s="155"/>
      <c r="V22" s="155"/>
    </row>
    <row r="23" spans="2:42" s="153" customFormat="1">
      <c r="B23" s="167" t="s">
        <v>185</v>
      </c>
      <c r="C23" s="168"/>
      <c r="D23" s="169"/>
      <c r="E23" s="169"/>
      <c r="F23" s="169"/>
      <c r="G23" s="169"/>
      <c r="H23" s="169"/>
      <c r="I23" s="170"/>
      <c r="J23" s="170"/>
      <c r="K23" s="170"/>
      <c r="L23" s="171">
        <f t="shared" si="6"/>
        <v>0</v>
      </c>
      <c r="M23" s="171"/>
      <c r="N23" s="171"/>
      <c r="O23" s="171"/>
      <c r="P23" s="171"/>
      <c r="Q23" s="171"/>
      <c r="R23" s="171"/>
      <c r="T23" s="155"/>
      <c r="U23" s="155"/>
      <c r="V23" s="155"/>
    </row>
    <row r="24" spans="2:42" s="153" customFormat="1" ht="24" customHeight="1">
      <c r="B24" s="271" t="s">
        <v>186</v>
      </c>
      <c r="C24" s="272"/>
      <c r="D24" s="272"/>
      <c r="E24" s="272"/>
      <c r="F24" s="272"/>
      <c r="G24" s="272"/>
      <c r="H24" s="284"/>
      <c r="I24" s="174">
        <f>SUM(I25:I28)</f>
        <v>15</v>
      </c>
      <c r="J24" s="174">
        <f>SUM(J25:J28)</f>
        <v>15</v>
      </c>
      <c r="K24" s="174"/>
      <c r="L24" s="174">
        <f>SUM(L25:L28)</f>
        <v>43755</v>
      </c>
      <c r="M24" s="174">
        <f>SUM(M25:M29)</f>
        <v>43755</v>
      </c>
      <c r="N24" s="174">
        <f>SUM(N25:N29)</f>
        <v>0</v>
      </c>
      <c r="O24" s="174">
        <f>SUM(O25:O29)</f>
        <v>0</v>
      </c>
      <c r="P24" s="174">
        <f>SUM(P25:P29)</f>
        <v>0</v>
      </c>
      <c r="Q24" s="174">
        <f>SUM(Q25:Q29)</f>
        <v>0</v>
      </c>
      <c r="R24" s="175"/>
      <c r="T24" s="155"/>
      <c r="U24" s="155"/>
      <c r="V24" s="155"/>
    </row>
    <row r="25" spans="2:42" s="153" customFormat="1">
      <c r="B25" s="154">
        <v>1</v>
      </c>
      <c r="C25" s="168">
        <v>42398</v>
      </c>
      <c r="D25" s="169" t="s">
        <v>220</v>
      </c>
      <c r="E25" s="169" t="s">
        <v>221</v>
      </c>
      <c r="F25" s="169" t="s">
        <v>222</v>
      </c>
      <c r="G25" s="169" t="s">
        <v>183</v>
      </c>
      <c r="H25" s="169" t="s">
        <v>183</v>
      </c>
      <c r="I25" s="170">
        <v>5</v>
      </c>
      <c r="J25" s="170">
        <v>5</v>
      </c>
      <c r="K25" s="170"/>
      <c r="L25" s="171">
        <v>14585</v>
      </c>
      <c r="M25" s="171">
        <v>14585</v>
      </c>
      <c r="N25" s="171"/>
      <c r="O25" s="171"/>
      <c r="P25" s="171"/>
      <c r="Q25" s="171"/>
      <c r="R25" s="171" t="s">
        <v>223</v>
      </c>
      <c r="T25" s="155"/>
      <c r="U25" s="155"/>
      <c r="V25" s="155"/>
    </row>
    <row r="26" spans="2:42" s="153" customFormat="1" ht="24">
      <c r="B26" s="154">
        <v>2</v>
      </c>
      <c r="C26" s="168">
        <v>42730</v>
      </c>
      <c r="D26" s="169" t="s">
        <v>227</v>
      </c>
      <c r="E26" s="169" t="s">
        <v>228</v>
      </c>
      <c r="F26" s="169" t="s">
        <v>229</v>
      </c>
      <c r="G26" s="169" t="s">
        <v>183</v>
      </c>
      <c r="H26" s="169" t="s">
        <v>183</v>
      </c>
      <c r="I26" s="170">
        <v>5</v>
      </c>
      <c r="J26" s="170">
        <v>5</v>
      </c>
      <c r="K26" s="170"/>
      <c r="L26" s="171">
        <v>14585</v>
      </c>
      <c r="M26" s="171">
        <v>14585</v>
      </c>
      <c r="N26" s="171"/>
      <c r="O26" s="171"/>
      <c r="P26" s="171"/>
      <c r="Q26" s="171"/>
      <c r="R26" s="171" t="s">
        <v>231</v>
      </c>
      <c r="T26" s="155"/>
      <c r="U26" s="155"/>
      <c r="V26" s="155"/>
    </row>
    <row r="27" spans="2:42" s="153" customFormat="1" ht="24">
      <c r="B27" s="154">
        <v>3</v>
      </c>
      <c r="C27" s="168">
        <v>42727</v>
      </c>
      <c r="D27" s="169" t="s">
        <v>232</v>
      </c>
      <c r="E27" s="169" t="s">
        <v>233</v>
      </c>
      <c r="F27" s="169" t="s">
        <v>234</v>
      </c>
      <c r="G27" s="169" t="s">
        <v>183</v>
      </c>
      <c r="H27" s="169" t="s">
        <v>183</v>
      </c>
      <c r="I27" s="170">
        <v>5</v>
      </c>
      <c r="J27" s="170">
        <v>5</v>
      </c>
      <c r="K27" s="170"/>
      <c r="L27" s="171">
        <v>14585</v>
      </c>
      <c r="M27" s="171">
        <v>14585</v>
      </c>
      <c r="N27" s="171"/>
      <c r="O27" s="171"/>
      <c r="P27" s="171"/>
      <c r="Q27" s="171"/>
      <c r="R27" s="171" t="s">
        <v>235</v>
      </c>
      <c r="T27" s="155"/>
      <c r="U27" s="155"/>
      <c r="V27" s="155"/>
    </row>
    <row r="28" spans="2:42" s="153" customFormat="1">
      <c r="B28" s="154">
        <v>5</v>
      </c>
      <c r="C28" s="168"/>
      <c r="D28" s="169"/>
      <c r="E28" s="169"/>
      <c r="F28" s="169"/>
      <c r="G28" s="169"/>
      <c r="H28" s="169"/>
      <c r="I28" s="170"/>
      <c r="J28" s="170"/>
      <c r="K28" s="170"/>
      <c r="L28" s="171">
        <f t="shared" ref="L26:L28" si="7">SUM(M28:Q28)</f>
        <v>0</v>
      </c>
      <c r="M28" s="171"/>
      <c r="N28" s="171"/>
      <c r="O28" s="171"/>
      <c r="P28" s="171"/>
      <c r="Q28" s="171"/>
      <c r="R28" s="171"/>
      <c r="T28" s="155"/>
      <c r="U28" s="155"/>
      <c r="V28" s="155"/>
    </row>
    <row r="29" spans="2:42" s="153" customFormat="1" ht="48">
      <c r="B29" s="154">
        <v>2</v>
      </c>
      <c r="C29" s="168">
        <v>42506</v>
      </c>
      <c r="D29" s="169" t="s">
        <v>224</v>
      </c>
      <c r="E29" s="169" t="s">
        <v>225</v>
      </c>
      <c r="F29" s="169" t="s">
        <v>226</v>
      </c>
      <c r="G29" s="169" t="s">
        <v>183</v>
      </c>
      <c r="H29" s="169" t="s">
        <v>183</v>
      </c>
      <c r="I29" s="170">
        <v>45</v>
      </c>
      <c r="J29" s="170">
        <v>45</v>
      </c>
      <c r="K29" s="170"/>
      <c r="L29" s="171">
        <v>14585</v>
      </c>
      <c r="M29" s="171"/>
      <c r="N29" s="171"/>
      <c r="O29" s="171"/>
      <c r="P29" s="171"/>
      <c r="Q29" s="171"/>
      <c r="R29" s="171" t="s">
        <v>230</v>
      </c>
      <c r="T29" s="155"/>
      <c r="U29" s="155"/>
      <c r="V29" s="155"/>
    </row>
    <row r="30" spans="2:42" s="153" customFormat="1">
      <c r="B30" s="155"/>
      <c r="C30" s="156"/>
      <c r="D30" s="157"/>
      <c r="E30" s="155"/>
      <c r="F30" s="155"/>
      <c r="G30" s="155"/>
      <c r="H30" s="155"/>
      <c r="I30" s="158"/>
      <c r="J30" s="158"/>
      <c r="K30" s="158"/>
      <c r="L30" s="159"/>
      <c r="M30" s="159"/>
      <c r="N30" s="159"/>
      <c r="O30" s="159"/>
      <c r="P30" s="159"/>
      <c r="Q30" s="159"/>
      <c r="R30" s="158"/>
    </row>
    <row r="31" spans="2:42" s="153" customFormat="1">
      <c r="B31" s="155"/>
      <c r="C31" s="156"/>
      <c r="D31" s="157"/>
      <c r="F31" s="155"/>
      <c r="G31" s="155"/>
      <c r="H31" s="155"/>
      <c r="I31" s="158"/>
      <c r="J31" s="158"/>
      <c r="K31" s="158"/>
      <c r="L31" s="159"/>
      <c r="M31" s="159"/>
      <c r="N31" s="159"/>
      <c r="O31" s="159"/>
      <c r="P31" s="159"/>
      <c r="Q31" s="159"/>
      <c r="R31" s="158"/>
    </row>
    <row r="32" spans="2:42" s="153" customFormat="1">
      <c r="C32" s="160"/>
      <c r="D32" s="157"/>
      <c r="I32" s="161"/>
      <c r="J32" s="161"/>
      <c r="K32" s="161"/>
      <c r="L32" s="162"/>
      <c r="M32" s="162"/>
      <c r="N32" s="162"/>
      <c r="O32" s="162"/>
      <c r="P32" s="162"/>
      <c r="Q32" s="162"/>
      <c r="R32" s="161"/>
    </row>
    <row r="33" spans="2:18" s="153" customFormat="1">
      <c r="B33" s="161"/>
      <c r="C33" s="160"/>
      <c r="D33" s="163"/>
      <c r="I33" s="161"/>
      <c r="J33" s="161"/>
      <c r="K33" s="161"/>
      <c r="L33" s="162"/>
      <c r="M33" s="162"/>
      <c r="N33" s="162"/>
      <c r="O33" s="162"/>
      <c r="P33" s="162"/>
      <c r="Q33" s="162"/>
      <c r="R33" s="161"/>
    </row>
    <row r="34" spans="2:18" s="153" customFormat="1">
      <c r="B34" s="161"/>
      <c r="C34" s="164"/>
      <c r="D34" s="163"/>
      <c r="F34" s="165"/>
      <c r="I34" s="161"/>
      <c r="J34" s="161"/>
      <c r="K34" s="161"/>
      <c r="L34" s="162"/>
      <c r="M34" s="162"/>
      <c r="N34" s="162"/>
      <c r="O34" s="162"/>
      <c r="P34" s="162"/>
      <c r="Q34" s="162"/>
      <c r="R34" s="161"/>
    </row>
  </sheetData>
  <mergeCells count="25">
    <mergeCell ref="B9:H9"/>
    <mergeCell ref="B10:H10"/>
    <mergeCell ref="B17:H17"/>
    <mergeCell ref="B24:H24"/>
    <mergeCell ref="R6:R8"/>
    <mergeCell ref="C7:C8"/>
    <mergeCell ref="D7:D8"/>
    <mergeCell ref="I7:I8"/>
    <mergeCell ref="J7:J8"/>
    <mergeCell ref="M7:M8"/>
    <mergeCell ref="B2:L2"/>
    <mergeCell ref="B6:B8"/>
    <mergeCell ref="C6:D6"/>
    <mergeCell ref="E6:E8"/>
    <mergeCell ref="F6:F8"/>
    <mergeCell ref="G6:G8"/>
    <mergeCell ref="I6:J6"/>
    <mergeCell ref="L6:Q6"/>
    <mergeCell ref="N7:N8"/>
    <mergeCell ref="O7:O8"/>
    <mergeCell ref="P7:P8"/>
    <mergeCell ref="Q7:Q8"/>
    <mergeCell ref="L7:L8"/>
    <mergeCell ref="K6:K8"/>
    <mergeCell ref="H6:H8"/>
  </mergeCells>
  <dataValidations disablePrompts="1" count="2">
    <dataValidation type="list" allowBlank="1" showInputMessage="1" showErrorMessage="1" sqref="G11:G16 G18:H23 G25:H29">
      <formula1>"постоянная,временная"</formula1>
    </dataValidation>
    <dataValidation type="list" allowBlank="1" showInputMessage="1" showErrorMessage="1" sqref="H11:H16">
      <formula1>"до 15 кВт,до 150 кВт"</formula1>
    </dataValidation>
  </dataValidations>
  <pageMargins left="0.26" right="0.17" top="0.45" bottom="0.36" header="0.16" footer="0.15"/>
  <pageSetup paperSize="9" scale="56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1_до 15 кВт</vt:lpstr>
      <vt:lpstr>2_рассрочка</vt:lpstr>
      <vt:lpstr>3_до 150 кВт</vt:lpstr>
      <vt:lpstr>Факт ТП за 3 года</vt:lpstr>
      <vt:lpstr>Факт ПС за 3 года</vt:lpstr>
      <vt:lpstr>Реестр заявок на 2018</vt:lpstr>
      <vt:lpstr>Реестр договоров ТП 2014-2016</vt:lpstr>
      <vt:lpstr>'1_до 15 кВт'!Область_печати</vt:lpstr>
      <vt:lpstr>'2_рассрочка'!Область_печати</vt:lpstr>
      <vt:lpstr>'3_до 150 кВт'!Область_печати</vt:lpstr>
      <vt:lpstr>'Реестр договоров ТП 2014-2016'!Область_печати</vt:lpstr>
      <vt:lpstr>'Реестр заявок на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Алина Сергеевна</dc:creator>
  <cp:lastModifiedBy>Нагих Алина Сергеевна</cp:lastModifiedBy>
  <cp:lastPrinted>2017-10-31T07:36:21Z</cp:lastPrinted>
  <dcterms:created xsi:type="dcterms:W3CDTF">2017-08-02T09:28:37Z</dcterms:created>
  <dcterms:modified xsi:type="dcterms:W3CDTF">2017-11-13T11:52:18Z</dcterms:modified>
</cp:coreProperties>
</file>